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defaultThemeVersion="124226"/>
  <mc:AlternateContent xmlns:mc="http://schemas.openxmlformats.org/markup-compatibility/2006">
    <mc:Choice Requires="x15">
      <x15ac:absPath xmlns:x15ac="http://schemas.microsoft.com/office/spreadsheetml/2010/11/ac" url="\\vu1file.it.vanderbilt.edu\finance\U_Finance\Financial Reporting and Accounting\Accounting\Fixed Assets\23 - Leases\Assessments\"/>
    </mc:Choice>
  </mc:AlternateContent>
  <xr:revisionPtr revIDLastSave="0" documentId="13_ncr:1_{3F3734CD-7326-4D1C-87B0-E4C8DDD394E7}" xr6:coauthVersionLast="47" xr6:coauthVersionMax="47" xr10:uidLastSave="{00000000-0000-0000-0000-000000000000}"/>
  <bookViews>
    <workbookView xWindow="-120" yWindow="-120" windowWidth="29040" windowHeight="15720" tabRatio="601" xr2:uid="{00000000-000D-0000-FFFF-FFFF00000000}"/>
  </bookViews>
  <sheets>
    <sheet name="Input Tab" sheetId="18" r:id="rId1"/>
    <sheet name="Instructions" sheetId="14" state="hidden" r:id="rId2"/>
    <sheet name="Lease Analysis" sheetId="13" r:id="rId3"/>
    <sheet name="Market Value Support" sheetId="17" r:id="rId4"/>
    <sheet name="p2. Calculated Depreciation" sheetId="8" state="hidden" r:id="rId5"/>
    <sheet name="Quote 1935110 fromOrginal Lease" sheetId="9" state="hidden" r:id="rId6"/>
    <sheet name="Lease Term Options Computations" sheetId="7" state="hidden" r:id="rId7"/>
  </sheets>
  <externalReferences>
    <externalReference r:id="rId8"/>
  </externalReferences>
  <definedNames>
    <definedName name="BRTemp">[1]Worksheet!$B$28</definedName>
    <definedName name="CurrentDate">[1]Worksheet!$T$23</definedName>
    <definedName name="Home" localSheetId="2">'Lease Analysis'!$A$5</definedName>
    <definedName name="Home">#REF!</definedName>
    <definedName name="ItemLeased" localSheetId="2">'Lease Analysis'!$D$16</definedName>
    <definedName name="ItemLeased">#REF!</definedName>
    <definedName name="LeaseSupplementNumber" localSheetId="2">'Lease Analysis'!#REF!</definedName>
    <definedName name="LeaseSupplementNumber">#REF!</definedName>
    <definedName name="Lessor" localSheetId="2">'Lease Analysis'!$D$14</definedName>
    <definedName name="Lessor">#REF!</definedName>
    <definedName name="NINTYPERCENTTEST" localSheetId="2">#REF!</definedName>
    <definedName name="NINTYPERCENTTEST">#REF!</definedName>
    <definedName name="_xlnm.Print_Area" localSheetId="2">'Lease Analysis'!$A$1:$F$66</definedName>
    <definedName name="RentperMonth" localSheetId="2">'Lease Analysis'!$B$30</definedName>
    <definedName name="RentperMonth">#REF!</definedName>
    <definedName name="Term" localSheetId="2">'Lease Analysis'!$B$28</definedName>
    <definedName name="Term">#REF!</definedName>
    <definedName name="Test" localSheetId="2">'Lease Analysis'!$A$6</definedName>
    <definedName name="Te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9" i="13" l="1"/>
  <c r="D49" i="13" a="1"/>
  <c r="D49" i="13" s="1"/>
  <c r="D20" i="13"/>
  <c r="D22" i="13"/>
  <c r="D53" i="13" l="1"/>
  <c r="D45" i="13"/>
  <c r="D33" i="13"/>
  <c r="D28" i="13"/>
  <c r="D29" i="13"/>
  <c r="D30" i="13"/>
  <c r="D23" i="13" l="1"/>
  <c r="D31" i="13"/>
  <c r="D40" i="13"/>
  <c r="D41" i="13" s="1"/>
  <c r="D42" i="13" s="1"/>
  <c r="D46" i="13"/>
  <c r="D50" i="13"/>
  <c r="D32" i="13"/>
  <c r="D34" i="13" s="1"/>
  <c r="D35" i="13" s="1"/>
  <c r="D36" i="13" s="1"/>
  <c r="B16" i="18" s="1" a="1"/>
  <c r="B16" i="18" s="1"/>
  <c r="D54" i="13"/>
  <c r="B2" i="8"/>
  <c r="H2" i="8" s="1"/>
  <c r="E2" i="8"/>
  <c r="F2" i="8"/>
  <c r="C4" i="7"/>
  <c r="E4" i="7"/>
  <c r="C3" i="7"/>
  <c r="E3" i="7"/>
  <c r="D24" i="13" l="1"/>
  <c r="D25" i="13" s="1"/>
  <c r="J2" i="8"/>
  <c r="K2" i="8" s="1"/>
  <c r="I2" i="8"/>
  <c r="D56"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Massey, Celia</author>
  </authors>
  <commentList>
    <comment ref="G2" authorId="0" shapeId="0" xr:uid="{00000000-0006-0000-0400-000001000000}">
      <text>
        <r>
          <rPr>
            <b/>
            <sz val="9"/>
            <color indexed="81"/>
            <rFont val="Tahoma"/>
            <family val="2"/>
          </rPr>
          <t>Massey, Celia:</t>
        </r>
        <r>
          <rPr>
            <sz val="9"/>
            <color indexed="81"/>
            <rFont val="Tahoma"/>
            <family val="2"/>
          </rPr>
          <t xml:space="preserve">
See quote 1935110 tab.</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<sst xmlns="http://schemas.openxmlformats.org/spreadsheetml/2006/main" count="155" uniqueCount="130">
  <si>
    <t xml:space="preserve">CFO  Approval: </t>
  </si>
  <si>
    <t xml:space="preserve">
</t>
  </si>
  <si>
    <t>Finance Assessment Notes:</t>
  </si>
  <si>
    <t>Lease term (in months)</t>
  </si>
  <si>
    <t>B.</t>
  </si>
  <si>
    <t>A.</t>
  </si>
  <si>
    <t>Estimated Economic Life of Leased Property</t>
  </si>
  <si>
    <t>Present value of minimum lease payments</t>
  </si>
  <si>
    <t>F.</t>
  </si>
  <si>
    <t>FMV of leased item</t>
  </si>
  <si>
    <t>E.</t>
  </si>
  <si>
    <t>C.</t>
  </si>
  <si>
    <t>Rent per month</t>
  </si>
  <si>
    <t>Present Value of Minimum Lease Payments</t>
  </si>
  <si>
    <t>Lease / Supplement Number:</t>
  </si>
  <si>
    <t>Item Leased:</t>
  </si>
  <si>
    <t>Lessee (Department):</t>
  </si>
  <si>
    <t>Lessor (Company):</t>
  </si>
  <si>
    <t xml:space="preserve">Lease Reviewed by:  </t>
  </si>
  <si>
    <t xml:space="preserve">Date of Analysis:  </t>
  </si>
  <si>
    <t>Finance</t>
  </si>
  <si>
    <t>_____________________________________________________________________________________________________________</t>
  </si>
  <si>
    <t>Amt of Pymt</t>
  </si>
  <si>
    <t>Total Cost</t>
  </si>
  <si>
    <t># of Pymts</t>
  </si>
  <si>
    <t>Equipment Cost</t>
  </si>
  <si>
    <t>Interest Paid</t>
  </si>
  <si>
    <t>Lease Term Options</t>
  </si>
  <si>
    <t xml:space="preserve">Equipment </t>
  </si>
  <si>
    <t>Mass Spectrometer</t>
  </si>
  <si>
    <t>Cost</t>
  </si>
  <si>
    <t>Current Depreciation</t>
  </si>
  <si>
    <t>Accumulated Depreciation</t>
  </si>
  <si>
    <t>Net Book Value</t>
  </si>
  <si>
    <t>YTD Depreciation</t>
  </si>
  <si>
    <t>Date Placed in Service</t>
  </si>
  <si>
    <t>Today's Date</t>
  </si>
  <si>
    <t># of Months Depreciated</t>
  </si>
  <si>
    <t>Useful Life (in months)</t>
  </si>
  <si>
    <t>Remaining # of Depreciable months</t>
  </si>
  <si>
    <t>Lease Commencement Date:</t>
  </si>
  <si>
    <t xml:space="preserve">D. </t>
  </si>
  <si>
    <t>PV/FMV [G / F]</t>
  </si>
  <si>
    <t>(if either prompts are yes, the lease is qualified for exception reporting)</t>
  </si>
  <si>
    <t>Lease identification and Finance versus Operating Lease Assessment</t>
  </si>
  <si>
    <t>(If yes (title passes), the lease is Finance)</t>
  </si>
  <si>
    <t>(If yes, lease is Finance)</t>
  </si>
  <si>
    <t>G.</t>
  </si>
  <si>
    <t>Term of Lease (in months) - Current</t>
  </si>
  <si>
    <t>Total amount of payments over life of lease [A x C]</t>
  </si>
  <si>
    <t>[B / A]</t>
  </si>
  <si>
    <t xml:space="preserve">Financing or Operating Lease Assessment:  </t>
  </si>
  <si>
    <t xml:space="preserve">If "yes" to both questions above, the contract includes a lease: </t>
  </si>
  <si>
    <t xml:space="preserve">Total annual payments </t>
  </si>
  <si>
    <t>H.</t>
  </si>
  <si>
    <t xml:space="preserve">Transfer of Title </t>
  </si>
  <si>
    <t>Bargain Purchase Option</t>
  </si>
  <si>
    <t>Speciliazed Use</t>
  </si>
  <si>
    <t>Is the underlying asset of such a specialized nature, it is expected to have no alternative use at end of term? (Y/N)</t>
  </si>
  <si>
    <t xml:space="preserve">  (If greater than or equal to 75%, lease is Finance)</t>
  </si>
  <si>
    <t>(If greater than or equal to 90%, lease is Finance)</t>
  </si>
  <si>
    <t>Term (in months)</t>
  </si>
  <si>
    <t xml:space="preserve">Interest rate [using Ponder adjusted treasury rates in Instructions tab] </t>
  </si>
  <si>
    <t>Instructions</t>
  </si>
  <si>
    <t>Ponder Rates:</t>
  </si>
  <si>
    <t xml:space="preserve">Complete the analysis by completing each section of the lease analysis in order to determine if the contract is classified as a Financing or Operating lease. </t>
  </si>
  <si>
    <t xml:space="preserve">Supporting documentation should be included in the following tabs in the workbook. This support should be inclusive of documents supporting Fair Market Value amounts, lease contract terms, etc. </t>
  </si>
  <si>
    <t xml:space="preserve">The first required section of the Lease analysis includes basic terms of the agreement and questions for scoping contracts for reporting purposes. Consider if the contract is simply a service agreement, or if Vanderbilt has control (right to use the assets as seen fit, specific assets that cannot be interchanged by the vendor without notice, etc.) over a physically distinct asset for the contract term. </t>
  </si>
  <si>
    <t>(If  yes (includes a BPO), the lease is Finance)</t>
  </si>
  <si>
    <t>See "(2) FMV" tab</t>
  </si>
  <si>
    <t xml:space="preserve">Annual Collateralized rate: </t>
  </si>
  <si>
    <t>Estimated useful life (Per Vanderbilt’s historical trend of useful life assigned to alike assets)</t>
  </si>
  <si>
    <t>Default Useful Life</t>
  </si>
  <si>
    <t>Vehicle</t>
  </si>
  <si>
    <t>Audio Visual</t>
  </si>
  <si>
    <t>Elect Data Processing-Computer</t>
  </si>
  <si>
    <t>Office Equipment</t>
  </si>
  <si>
    <t>Misc</t>
  </si>
  <si>
    <t>Scientific</t>
  </si>
  <si>
    <t>Telecommunications</t>
  </si>
  <si>
    <t>Arts and Antiques-Non-Precious</t>
  </si>
  <si>
    <t>Athletic</t>
  </si>
  <si>
    <t>Dining</t>
  </si>
  <si>
    <t>Furniture &amp; Fixtures</t>
  </si>
  <si>
    <t>Grounds and Maintenance</t>
  </si>
  <si>
    <t>Land Improvements</t>
  </si>
  <si>
    <t>Printing</t>
  </si>
  <si>
    <t>Musical Instruments</t>
  </si>
  <si>
    <t>Renovations</t>
  </si>
  <si>
    <t>Research</t>
  </si>
  <si>
    <t>Purchased Buildings</t>
  </si>
  <si>
    <t>New Buildings</t>
  </si>
  <si>
    <t>Default Useful Life Schedule:</t>
  </si>
  <si>
    <t>(If financing, CFO approval may be required to execute the lease).</t>
  </si>
  <si>
    <t>See first page</t>
  </si>
  <si>
    <t>Attach FMV Support</t>
  </si>
  <si>
    <t xml:space="preserve">Any contracts that qualify as a financing lease, may require CFO approval and should be included. A valid economic business case for financing leases must be submitted with requisition package. </t>
  </si>
  <si>
    <t xml:space="preserve">Once the evaluation has been completed in its entirety, send this evaluation and all necessary supporting documentation to the appropriate Finance team members for review. </t>
  </si>
  <si>
    <r>
      <t xml:space="preserve">Complete the analysis on tab 2  in its entirety when evaluating any lease contract (fill in highlighted cells). </t>
    </r>
    <r>
      <rPr>
        <sz val="9"/>
        <color rgb="FFFF0000"/>
        <rFont val="Times New Roman"/>
        <family val="1"/>
      </rPr>
      <t>Note, some fields include formulas</t>
    </r>
    <r>
      <rPr>
        <sz val="9"/>
        <rFont val="Times New Roman"/>
        <family val="1"/>
      </rPr>
      <t xml:space="preserve"> </t>
    </r>
    <r>
      <rPr>
        <sz val="9"/>
        <color rgb="FFFF0000"/>
        <rFont val="Times New Roman"/>
        <family val="1"/>
      </rPr>
      <t>and should not be changed.</t>
    </r>
    <r>
      <rPr>
        <sz val="9"/>
        <rFont val="Times New Roman"/>
        <family val="1"/>
      </rPr>
      <t xml:space="preserve"> These fields will automatically populate based on basic contract terms completed to aide in the contract evaluation. </t>
    </r>
  </si>
  <si>
    <t xml:space="preserve">The second set of scoping questions is required for reporting purposes. In implementing the new leasing standard, short term contracts and other contracts subject to certain internal thresholds are not required to be reported separately on the face of the financials. </t>
  </si>
  <si>
    <t xml:space="preserve">The term of the lease contract should be reported in months. Separately, if there is an option to extend or renew the lease in the contract, this time frame should be reported. </t>
  </si>
  <si>
    <t xml:space="preserve">Interest rates are automatically populated for the yearly average rates (Do not change the formula in this field). Finance team will research the daily treasury rate as part our our review to make sure no major changes occur. </t>
  </si>
  <si>
    <t>Under the estimated economic useful life section, populate the default useful life using the schedule below. In most cases, the leased asset can be grouped under one of the minor categories and that associated useful life used. These default useful lives were averages derived from historical trends at VU of alike assets. Note in some cases there may still be a need to search Vanderbilt's active and inactive assets to see actual historical trends for a given asset.</t>
  </si>
  <si>
    <t>Question/Prompt</t>
  </si>
  <si>
    <t>Response</t>
  </si>
  <si>
    <t>What is the monthly lease payment for the equipment?</t>
  </si>
  <si>
    <t>Category</t>
  </si>
  <si>
    <t>Does the lease agreement include the option to buy the equipment at the end of the lease?</t>
  </si>
  <si>
    <t>Has the asset been specialized or modified specifically for the university such that no one else outside of VU could use it?</t>
  </si>
  <si>
    <t>What is the term of the lease (in months)?</t>
  </si>
  <si>
    <t>What date does the lease begin?</t>
  </si>
  <si>
    <t>Does the university own the equipment at the end of the lease or is it returned?</t>
  </si>
  <si>
    <t>Does the lease agreement include the option to renew the lease?</t>
  </si>
  <si>
    <t>What is the Market Value of the equipment in the contract? Market Value is the price you would pay to purchase the equipment. Please attach support for the market value</t>
  </si>
  <si>
    <t xml:space="preserve">Own </t>
  </si>
  <si>
    <t>Returned</t>
  </si>
  <si>
    <t>Which category does the equipment best fall under?</t>
  </si>
  <si>
    <t>Y</t>
  </si>
  <si>
    <t>N</t>
  </si>
  <si>
    <t>Comments:</t>
  </si>
  <si>
    <r>
      <rPr>
        <b/>
        <sz val="12"/>
        <rFont val="Times New Roman"/>
        <family val="1"/>
      </rPr>
      <t>Requistion Number:</t>
    </r>
    <r>
      <rPr>
        <sz val="12"/>
        <rFont val="Times New Roman"/>
        <family val="1"/>
      </rPr>
      <t xml:space="preserve"> </t>
    </r>
  </si>
  <si>
    <r>
      <t xml:space="preserve">Does the contract include a physically distinct asset for which VU has the right to use </t>
    </r>
    <r>
      <rPr>
        <b/>
        <sz val="9"/>
        <rFont val="Times New Roman"/>
        <family val="1"/>
      </rPr>
      <t>(Y/N)</t>
    </r>
    <r>
      <rPr>
        <sz val="9"/>
        <rFont val="Times New Roman"/>
        <family val="1"/>
      </rPr>
      <t>:</t>
    </r>
  </si>
  <si>
    <r>
      <t xml:space="preserve">Does VU control the use of the asset throughout the contract period </t>
    </r>
    <r>
      <rPr>
        <b/>
        <sz val="9"/>
        <rFont val="Times New Roman"/>
        <family val="1"/>
      </rPr>
      <t>(Y/N)</t>
    </r>
    <r>
      <rPr>
        <sz val="9"/>
        <rFont val="Times New Roman"/>
        <family val="1"/>
      </rPr>
      <t>:</t>
    </r>
  </si>
  <si>
    <r>
      <t xml:space="preserve">Is the lease term equivalent to 12 months or less </t>
    </r>
    <r>
      <rPr>
        <b/>
        <sz val="9"/>
        <rFont val="Times New Roman"/>
        <family val="1"/>
      </rPr>
      <t>(Y/N)</t>
    </r>
  </si>
  <si>
    <r>
      <t xml:space="preserve">Are the annual payments less than or equal to $100k per year per asset </t>
    </r>
    <r>
      <rPr>
        <b/>
        <sz val="9"/>
        <rFont val="Times New Roman"/>
        <family val="1"/>
      </rPr>
      <t>(Y/N)</t>
    </r>
  </si>
  <si>
    <t>ASC 842 Scoping Questions - completed by accounting team after review of contract</t>
  </si>
  <si>
    <r>
      <t xml:space="preserve">Lease Renewal Options </t>
    </r>
    <r>
      <rPr>
        <b/>
        <sz val="9"/>
        <rFont val="Times New Roman"/>
        <family val="1"/>
      </rPr>
      <t>(Y/N)</t>
    </r>
    <r>
      <rPr>
        <sz val="9"/>
        <rFont val="Times New Roman"/>
        <family val="1"/>
      </rPr>
      <t>, if yes please include terms</t>
    </r>
  </si>
  <si>
    <r>
      <t xml:space="preserve">Does the contract include option to purchase the asset? </t>
    </r>
    <r>
      <rPr>
        <b/>
        <sz val="9"/>
        <rFont val="Times New Roman"/>
        <family val="1"/>
      </rPr>
      <t>(Y/N)</t>
    </r>
  </si>
  <si>
    <r>
      <t xml:space="preserve">Does the lease transfer ownership of asset by end of lease term? </t>
    </r>
    <r>
      <rPr>
        <b/>
        <sz val="9"/>
        <rFont val="Times New Roman"/>
        <family val="1"/>
      </rPr>
      <t>(Y/N)</t>
    </r>
  </si>
  <si>
    <t>updated for 6/30/25 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</si>
</sst>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F800]dddd\,\ mmmm\ dd\,\ yyyy"/>
    <numFmt numFmtId="167" formatCode="_(&quot;$&quot;* #,##0_);_(&quot;$&quot;* \(#,##0\);_(&quot;$&quot;* &quot;-&quot;??_);_(@_)"/>
  </numFmts>
  <fonts count="26" x14ac:knownFonts="1">
    <font>
      <sz val="12"/>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b/>
      <sz val="12"/>
      <name val="Times New Roman"/>
      <family val="1"/>
    </font>
    <font>
      <b/>
      <sz val="9"/>
      <name val="Times New Roman"/>
      <family val="1"/>
    </font>
    <font>
      <sz val="9"/>
      <name val="Times New Roman"/>
      <family val="1"/>
    </font>
    <font>
      <b/>
      <i/>
      <sz val="9"/>
      <name val="Times New Roman"/>
      <family val="1"/>
    </font>
    <font>
      <sz val="10"/>
      <name val="Arial"/>
      <family val="2"/>
    </font>
    <font>
      <sz val="9"/>
      <color indexed="81"/>
      <name val="Tahoma"/>
      <family val="2"/>
    </font>
    <font>
      <sz val="8"/>
      <name val="Helv"/>
    </font>
    <font>
      <u/>
      <sz val="12"/>
      <name val="Times New Roman"/>
      <family val="1"/>
    </font>
    <font>
      <b/>
      <sz val="9"/>
      <color indexed="81"/>
      <name val="Tahoma"/>
      <family val="2"/>
    </font>
    <font>
      <sz val="9"/>
      <color rgb="FFCC9900"/>
      <name val="Times New Roman"/>
      <family val="1"/>
    </font>
    <font>
      <b/>
      <i/>
      <sz val="9"/>
      <color rgb="FFFF0000"/>
      <name val="Times New Roman"/>
      <family val="1"/>
    </font>
    <font>
      <u/>
      <sz val="11"/>
      <color theme="10"/>
      <name val="Calibri"/>
      <family val="2"/>
      <scheme val="minor"/>
    </font>
    <font>
      <sz val="9"/>
      <color theme="1"/>
      <name val="Times New Roman"/>
      <family val="1"/>
    </font>
    <font>
      <sz val="9"/>
      <color rgb="FFFF0000"/>
      <name val="Times New Roman"/>
      <family val="1"/>
    </font>
    <font>
      <b/>
      <sz val="9"/>
      <color rgb="FFFF0000"/>
      <name val="Times New Roman"/>
      <family val="1"/>
    </font>
    <font>
      <i/>
      <sz val="9"/>
      <color rgb="FFFF0000"/>
      <name val="Times New Roman"/>
      <family val="1"/>
    </font>
    <font>
      <b/>
      <sz val="9"/>
      <color rgb="FFFFFFFF"/>
      <name val="Times New Roman"/>
      <family val="1"/>
    </font>
    <font>
      <sz val="9"/>
      <color rgb="FF000000"/>
      <name val="Times New Roman"/>
      <family val="1"/>
    </font>
    <font>
      <b/>
      <sz val="10"/>
      <color rgb="FFFF0000"/>
      <name val="Times New Roman"/>
      <family val="1"/>
    </font>
    <font>
      <sz val="11"/>
      <name val="Calibri"/>
      <family val="2"/>
      <scheme val="minor"/>
    </font>
    <font>
      <b/>
      <sz val="1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000000"/>
        <bgColor indexed="64"/>
      </patternFill>
    </fill>
    <fill>
      <patternFill patternType="solid">
        <fgColor rgb="FFA6A6A6"/>
        <bgColor indexed="64"/>
      </patternFill>
    </fill>
    <fill>
      <patternFill patternType="solid">
        <fgColor rgb="FFD9D9D9"/>
        <bgColor indexed="64"/>
      </patternFill>
    </fill>
    <fill>
      <patternFill patternType="solid">
        <fgColor theme="9" tint="0.79998168889431442"/>
        <bgColor indexed="64"/>
      </patternFill>
    </fill>
    <fill>
      <patternFill patternType="solid">
        <fgColor theme="5" tint="0.59999389629810485"/>
        <bgColor indexed="64"/>
      </patternFill>
    </fill>
  </fills>
  <borders count="25">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rgb="FFFFFFFF"/>
      </right>
      <top style="medium">
        <color indexed="64"/>
      </top>
      <bottom style="thick">
        <color rgb="FFFFFFFF"/>
      </bottom>
      <diagonal/>
    </border>
    <border>
      <left/>
      <right style="medium">
        <color indexed="64"/>
      </right>
      <top style="medium">
        <color indexed="64"/>
      </top>
      <bottom style="thick">
        <color rgb="FFFFFFFF"/>
      </bottom>
      <diagonal/>
    </border>
    <border>
      <left style="medium">
        <color indexed="64"/>
      </left>
      <right style="medium">
        <color rgb="FFFFFFFF"/>
      </right>
      <top/>
      <bottom style="medium">
        <color rgb="FFFFFFFF"/>
      </bottom>
      <diagonal/>
    </border>
    <border>
      <left/>
      <right style="medium">
        <color indexed="64"/>
      </right>
      <top/>
      <bottom style="medium">
        <color rgb="FFFFFFFF"/>
      </bottom>
      <diagonal/>
    </border>
    <border>
      <left style="medium">
        <color indexed="64"/>
      </left>
      <right style="medium">
        <color rgb="FFFFFFFF"/>
      </right>
      <top/>
      <bottom style="medium">
        <color indexed="64"/>
      </bottom>
      <diagonal/>
    </border>
  </borders>
  <cellStyleXfs count="18">
    <xf numFmtId="0" fontId="0" fillId="0" borderId="0"/>
    <xf numFmtId="43" fontId="4" fillId="0" borderId="0" applyFont="0" applyFill="0" applyBorder="0" applyAlignment="0" applyProtection="0"/>
    <xf numFmtId="9"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 fillId="0" borderId="0"/>
    <xf numFmtId="0" fontId="9" fillId="0" borderId="0"/>
    <xf numFmtId="0" fontId="9" fillId="0" borderId="0"/>
    <xf numFmtId="0" fontId="2" fillId="0" borderId="0"/>
    <xf numFmtId="0" fontId="11" fillId="0" borderId="0" applyNumberForma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cellStyleXfs>
  <cellXfs count="120">
    <xf numFmtId="0" fontId="0" fillId="0" borderId="0" xfId="0"/>
    <xf numFmtId="0" fontId="6" fillId="0" borderId="9" xfId="0" applyFont="1" applyBorder="1" applyAlignment="1">
      <alignment horizontal="right"/>
    </xf>
    <xf numFmtId="0" fontId="7" fillId="0" borderId="0" xfId="0" applyFont="1"/>
    <xf numFmtId="0" fontId="6" fillId="0" borderId="0" xfId="0" applyFont="1"/>
    <xf numFmtId="0" fontId="7" fillId="0" borderId="0" xfId="0" applyFont="1" applyAlignment="1">
      <alignment wrapText="1"/>
    </xf>
    <xf numFmtId="164" fontId="7" fillId="0" borderId="0" xfId="1" applyNumberFormat="1" applyFont="1"/>
    <xf numFmtId="43" fontId="0" fillId="0" borderId="0" xfId="1" applyFont="1"/>
    <xf numFmtId="43" fontId="0" fillId="0" borderId="0" xfId="0" applyNumberFormat="1"/>
    <xf numFmtId="164" fontId="0" fillId="0" borderId="0" xfId="1" applyNumberFormat="1" applyFont="1"/>
    <xf numFmtId="164" fontId="0" fillId="0" borderId="0" xfId="0" applyNumberFormat="1"/>
    <xf numFmtId="43" fontId="0" fillId="0" borderId="0" xfId="1" applyFont="1" applyBorder="1"/>
    <xf numFmtId="43" fontId="5" fillId="0" borderId="0" xfId="1" applyFont="1" applyBorder="1"/>
    <xf numFmtId="0" fontId="0" fillId="2" borderId="0" xfId="0" applyFill="1"/>
    <xf numFmtId="43" fontId="0" fillId="2" borderId="0" xfId="1" applyFont="1" applyFill="1"/>
    <xf numFmtId="43" fontId="0" fillId="2" borderId="0" xfId="0" applyNumberFormat="1" applyFill="1"/>
    <xf numFmtId="164" fontId="0" fillId="2" borderId="0" xfId="1" applyNumberFormat="1" applyFont="1" applyFill="1"/>
    <xf numFmtId="164" fontId="0" fillId="2" borderId="0" xfId="0" applyNumberFormat="1" applyFill="1"/>
    <xf numFmtId="0" fontId="12" fillId="0" borderId="0" xfId="0" applyFont="1"/>
    <xf numFmtId="0" fontId="0" fillId="0" borderId="0" xfId="0" applyAlignment="1">
      <alignment horizontal="center"/>
    </xf>
    <xf numFmtId="0" fontId="12" fillId="0" borderId="0" xfId="0" applyFont="1" applyAlignment="1">
      <alignment horizontal="center"/>
    </xf>
    <xf numFmtId="0" fontId="12" fillId="4" borderId="0" xfId="0" applyFont="1" applyFill="1" applyAlignment="1">
      <alignment horizontal="center"/>
    </xf>
    <xf numFmtId="0" fontId="0" fillId="0" borderId="0" xfId="0" applyAlignment="1">
      <alignment horizontal="center" vertical="center"/>
    </xf>
    <xf numFmtId="14" fontId="0" fillId="0" borderId="0" xfId="0" applyNumberFormat="1" applyAlignment="1">
      <alignment horizontal="center" vertical="center"/>
    </xf>
    <xf numFmtId="1" fontId="0" fillId="0" borderId="0" xfId="0" applyNumberFormat="1" applyAlignment="1">
      <alignment horizontal="center" vertical="center"/>
    </xf>
    <xf numFmtId="43" fontId="0" fillId="0" borderId="0" xfId="1" applyFont="1" applyAlignment="1">
      <alignment horizontal="center" vertical="center"/>
    </xf>
    <xf numFmtId="43" fontId="0" fillId="4" borderId="18" xfId="0" applyNumberFormat="1" applyFill="1" applyBorder="1" applyAlignment="1">
      <alignment horizontal="center" vertical="center"/>
    </xf>
    <xf numFmtId="0" fontId="12" fillId="3" borderId="0" xfId="0" applyFont="1" applyFill="1" applyAlignment="1">
      <alignment horizontal="center"/>
    </xf>
    <xf numFmtId="14" fontId="0" fillId="3" borderId="0" xfId="0" applyNumberFormat="1" applyFill="1" applyAlignment="1">
      <alignment horizontal="center" vertical="center"/>
    </xf>
    <xf numFmtId="43" fontId="5" fillId="0" borderId="0" xfId="0" applyNumberFormat="1" applyFont="1"/>
    <xf numFmtId="0" fontId="7" fillId="0" borderId="0" xfId="0" applyFont="1" applyAlignment="1">
      <alignment horizontal="left"/>
    </xf>
    <xf numFmtId="0" fontId="6" fillId="0" borderId="0" xfId="0" applyFont="1" applyAlignment="1">
      <alignment horizontal="left"/>
    </xf>
    <xf numFmtId="42" fontId="7" fillId="0" borderId="0" xfId="0" applyNumberFormat="1" applyFont="1"/>
    <xf numFmtId="165" fontId="6" fillId="0" borderId="0" xfId="2" applyNumberFormat="1" applyFont="1" applyBorder="1"/>
    <xf numFmtId="0" fontId="14" fillId="0" borderId="0" xfId="0" applyFont="1" applyAlignment="1">
      <alignment horizontal="left"/>
    </xf>
    <xf numFmtId="0" fontId="14" fillId="0" borderId="0" xfId="0" applyFont="1"/>
    <xf numFmtId="0" fontId="7" fillId="0" borderId="17" xfId="0" applyFont="1" applyBorder="1" applyAlignment="1">
      <alignment horizontal="left"/>
    </xf>
    <xf numFmtId="0" fontId="7" fillId="0" borderId="16" xfId="0" applyFont="1" applyBorder="1"/>
    <xf numFmtId="166" fontId="7" fillId="0" borderId="0" xfId="0" applyNumberFormat="1" applyFont="1"/>
    <xf numFmtId="0" fontId="7" fillId="0" borderId="14" xfId="0" applyFont="1" applyBorder="1" applyAlignment="1">
      <alignment horizontal="left"/>
    </xf>
    <xf numFmtId="0" fontId="7" fillId="0" borderId="0" xfId="0" applyFont="1" applyAlignment="1">
      <alignment horizontal="left" vertical="center"/>
    </xf>
    <xf numFmtId="0" fontId="7" fillId="0" borderId="13" xfId="0" applyFont="1" applyBorder="1"/>
    <xf numFmtId="166" fontId="7" fillId="0" borderId="0" xfId="0" applyNumberFormat="1" applyFont="1" applyAlignment="1">
      <alignment horizontal="left"/>
    </xf>
    <xf numFmtId="6" fontId="7" fillId="0" borderId="0" xfId="0" applyNumberFormat="1" applyFont="1"/>
    <xf numFmtId="0" fontId="7" fillId="0" borderId="12" xfId="0" applyFont="1" applyBorder="1" applyAlignment="1">
      <alignment horizontal="left"/>
    </xf>
    <xf numFmtId="0" fontId="7" fillId="0" borderId="11" xfId="0" applyFont="1" applyBorder="1" applyAlignment="1">
      <alignment horizontal="left" vertical="center"/>
    </xf>
    <xf numFmtId="0" fontId="7" fillId="0" borderId="11" xfId="0" applyFont="1" applyBorder="1"/>
    <xf numFmtId="0" fontId="7" fillId="0" borderId="0" xfId="0" applyFont="1" applyAlignment="1">
      <alignment horizontal="left" vertical="top"/>
    </xf>
    <xf numFmtId="0" fontId="7" fillId="0" borderId="0" xfId="0" applyFont="1" applyAlignment="1">
      <alignment vertical="top"/>
    </xf>
    <xf numFmtId="0" fontId="7" fillId="0" borderId="0" xfId="0" applyFont="1" applyAlignment="1">
      <alignment vertical="top" wrapText="1"/>
    </xf>
    <xf numFmtId="0" fontId="8" fillId="0" borderId="0" xfId="0" applyFont="1" applyAlignment="1">
      <alignment horizontal="left"/>
    </xf>
    <xf numFmtId="0" fontId="6" fillId="0" borderId="0" xfId="0" applyFont="1" applyAlignment="1">
      <alignment horizontal="center"/>
    </xf>
    <xf numFmtId="164" fontId="7" fillId="0" borderId="0" xfId="0" applyNumberFormat="1" applyFont="1"/>
    <xf numFmtId="166" fontId="6" fillId="0" borderId="19" xfId="0" applyNumberFormat="1" applyFont="1" applyBorder="1" applyAlignment="1">
      <alignment horizontal="center" wrapText="1"/>
    </xf>
    <xf numFmtId="0" fontId="8" fillId="0" borderId="17" xfId="0" applyFont="1" applyBorder="1" applyAlignment="1">
      <alignment horizontal="left"/>
    </xf>
    <xf numFmtId="0" fontId="6" fillId="0" borderId="16" xfId="0" applyFont="1" applyBorder="1"/>
    <xf numFmtId="0" fontId="7" fillId="0" borderId="15" xfId="0" applyFont="1" applyBorder="1"/>
    <xf numFmtId="0" fontId="8" fillId="0" borderId="14" xfId="0" applyFont="1" applyBorder="1" applyAlignment="1">
      <alignment horizontal="left"/>
    </xf>
    <xf numFmtId="44" fontId="7" fillId="0" borderId="13" xfId="13" applyFont="1" applyBorder="1" applyAlignment="1">
      <alignment horizontal="center"/>
    </xf>
    <xf numFmtId="165" fontId="6" fillId="0" borderId="0" xfId="0" applyNumberFormat="1" applyFont="1" applyAlignment="1">
      <alignment horizontal="right"/>
    </xf>
    <xf numFmtId="42" fontId="7" fillId="0" borderId="0" xfId="0" applyNumberFormat="1" applyFont="1" applyAlignment="1">
      <alignment horizontal="right"/>
    </xf>
    <xf numFmtId="0" fontId="15" fillId="0" borderId="0" xfId="0" applyFont="1" applyAlignment="1">
      <alignment horizontal="left"/>
    </xf>
    <xf numFmtId="0" fontId="6" fillId="0" borderId="9" xfId="0" applyFont="1" applyBorder="1" applyAlignment="1">
      <alignment horizontal="center"/>
    </xf>
    <xf numFmtId="0" fontId="6" fillId="0" borderId="0" xfId="0" applyFont="1" applyAlignment="1">
      <alignment wrapText="1"/>
    </xf>
    <xf numFmtId="0" fontId="8" fillId="0" borderId="0" xfId="0" applyFont="1" applyAlignment="1">
      <alignment horizontal="left" wrapText="1"/>
    </xf>
    <xf numFmtId="0" fontId="8" fillId="0" borderId="0" xfId="0" applyFont="1" applyAlignment="1">
      <alignment wrapText="1"/>
    </xf>
    <xf numFmtId="0" fontId="8" fillId="0" borderId="11" xfId="0" applyFont="1" applyBorder="1" applyAlignment="1">
      <alignment horizontal="left" wrapText="1"/>
    </xf>
    <xf numFmtId="0" fontId="7" fillId="0" borderId="0" xfId="0" applyFont="1" applyAlignment="1">
      <alignment horizontal="center"/>
    </xf>
    <xf numFmtId="10" fontId="17" fillId="0" borderId="0" xfId="16" applyNumberFormat="1" applyFont="1" applyFill="1"/>
    <xf numFmtId="10" fontId="7" fillId="0" borderId="0" xfId="0" applyNumberFormat="1" applyFont="1" applyAlignment="1">
      <alignment horizontal="right"/>
    </xf>
    <xf numFmtId="0" fontId="19" fillId="0" borderId="0" xfId="0" applyFont="1"/>
    <xf numFmtId="1" fontId="7" fillId="0" borderId="0" xfId="0" applyNumberFormat="1" applyFont="1" applyAlignment="1">
      <alignment horizontal="right"/>
    </xf>
    <xf numFmtId="0" fontId="20" fillId="0" borderId="0" xfId="0" applyFont="1"/>
    <xf numFmtId="8" fontId="7" fillId="0" borderId="0" xfId="0" applyNumberFormat="1" applyFont="1"/>
    <xf numFmtId="8" fontId="6" fillId="0" borderId="0" xfId="2" applyNumberFormat="1" applyFont="1"/>
    <xf numFmtId="167" fontId="7" fillId="0" borderId="0" xfId="0" applyNumberFormat="1" applyFont="1"/>
    <xf numFmtId="0" fontId="21" fillId="5" borderId="20" xfId="0" applyFont="1" applyFill="1" applyBorder="1" applyAlignment="1">
      <alignment horizontal="center" vertical="center"/>
    </xf>
    <xf numFmtId="0" fontId="21" fillId="5" borderId="21" xfId="0" applyFont="1" applyFill="1" applyBorder="1" applyAlignment="1">
      <alignment horizontal="center" vertical="center"/>
    </xf>
    <xf numFmtId="0" fontId="22" fillId="6" borderId="22" xfId="0" applyFont="1" applyFill="1" applyBorder="1" applyAlignment="1">
      <alignment horizontal="center" vertical="center"/>
    </xf>
    <xf numFmtId="0" fontId="22" fillId="6" borderId="23" xfId="0" applyFont="1" applyFill="1" applyBorder="1" applyAlignment="1">
      <alignment horizontal="center" vertical="center"/>
    </xf>
    <xf numFmtId="0" fontId="22" fillId="7" borderId="22" xfId="0" applyFont="1" applyFill="1" applyBorder="1" applyAlignment="1">
      <alignment horizontal="center" vertical="center"/>
    </xf>
    <xf numFmtId="0" fontId="22" fillId="7" borderId="23" xfId="0" applyFont="1" applyFill="1" applyBorder="1" applyAlignment="1">
      <alignment horizontal="center" vertical="center"/>
    </xf>
    <xf numFmtId="0" fontId="22" fillId="6" borderId="24" xfId="0" applyFont="1" applyFill="1" applyBorder="1" applyAlignment="1">
      <alignment horizontal="center" vertical="center"/>
    </xf>
    <xf numFmtId="0" fontId="22" fillId="6" borderId="10" xfId="0" applyFont="1" applyFill="1" applyBorder="1" applyAlignment="1">
      <alignment horizontal="center" vertical="center"/>
    </xf>
    <xf numFmtId="0" fontId="7" fillId="8" borderId="13" xfId="0" applyFont="1" applyFill="1" applyBorder="1" applyAlignment="1">
      <alignment horizontal="center"/>
    </xf>
    <xf numFmtId="1" fontId="7" fillId="8" borderId="0" xfId="0" applyNumberFormat="1" applyFont="1" applyFill="1"/>
    <xf numFmtId="0" fontId="7" fillId="8" borderId="0" xfId="0" applyFont="1" applyFill="1" applyAlignment="1">
      <alignment horizontal="center"/>
    </xf>
    <xf numFmtId="167" fontId="7" fillId="8" borderId="0" xfId="13" applyNumberFormat="1" applyFont="1" applyFill="1" applyBorder="1" applyAlignment="1">
      <alignment horizontal="left"/>
    </xf>
    <xf numFmtId="42" fontId="7" fillId="8" borderId="0" xfId="0" applyNumberFormat="1" applyFont="1" applyFill="1"/>
    <xf numFmtId="0" fontId="23" fillId="0" borderId="0" xfId="0" applyFont="1"/>
    <xf numFmtId="0" fontId="0" fillId="4" borderId="0" xfId="0" applyFill="1"/>
    <xf numFmtId="0" fontId="24" fillId="0" borderId="0" xfId="0" applyFont="1"/>
    <xf numFmtId="0" fontId="25" fillId="0" borderId="0" xfId="0" applyFont="1"/>
    <xf numFmtId="0" fontId="24" fillId="4" borderId="0" xfId="0" applyFont="1" applyFill="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wrapText="1"/>
    </xf>
    <xf numFmtId="14" fontId="24" fillId="4" borderId="0" xfId="0" applyNumberFormat="1" applyFont="1" applyFill="1"/>
    <xf numFmtId="0" fontId="24" fillId="4" borderId="0" xfId="0" applyFont="1" applyFill="1" applyAlignment="1">
      <alignment horizontal="right"/>
    </xf>
    <xf numFmtId="4" fontId="24" fillId="4" borderId="0" xfId="0" applyNumberFormat="1" applyFont="1" applyFill="1" applyAlignment="1">
      <alignment vertical="top"/>
    </xf>
    <xf numFmtId="166" fontId="7" fillId="0" borderId="15" xfId="0" applyNumberFormat="1" applyFont="1" applyBorder="1" applyAlignment="1">
      <alignment horizontal="left" wrapText="1"/>
    </xf>
    <xf numFmtId="166" fontId="7" fillId="0" borderId="13" xfId="0" applyNumberFormat="1" applyFont="1" applyBorder="1" applyAlignment="1">
      <alignment horizontal="left" wrapText="1"/>
    </xf>
    <xf numFmtId="16" fontId="7" fillId="0" borderId="10" xfId="0" quotePrefix="1" applyNumberFormat="1" applyFont="1" applyBorder="1" applyAlignment="1">
      <alignment wrapText="1"/>
    </xf>
    <xf numFmtId="0" fontId="0" fillId="4" borderId="0" xfId="0" applyFill="1" applyAlignment="1">
      <alignment wrapText="1"/>
    </xf>
    <xf numFmtId="0" fontId="0" fillId="0" borderId="0" xfId="0" applyAlignment="1">
      <alignment wrapText="1"/>
    </xf>
    <xf numFmtId="166" fontId="7" fillId="9" borderId="13" xfId="0" applyNumberFormat="1" applyFont="1" applyFill="1" applyBorder="1" applyAlignment="1">
      <alignment horizontal="center" wrapText="1"/>
    </xf>
    <xf numFmtId="0" fontId="18" fillId="0" borderId="0" xfId="0" applyFont="1"/>
    <xf numFmtId="0" fontId="0" fillId="0" borderId="0" xfId="0" applyAlignment="1">
      <alignment horizontal="center" vertical="center"/>
    </xf>
    <xf numFmtId="0" fontId="0" fillId="4" borderId="0" xfId="0" applyFill="1" applyAlignment="1">
      <alignment horizontal="center" wrapText="1"/>
    </xf>
    <xf numFmtId="0" fontId="0" fillId="0" borderId="0" xfId="0" applyAlignment="1">
      <alignment horizontal="left" vertical="top"/>
    </xf>
    <xf numFmtId="0" fontId="7" fillId="0" borderId="0" xfId="0" applyFont="1" applyAlignment="1">
      <alignment horizontal="left" vertical="top" wrapText="1"/>
    </xf>
    <xf numFmtId="0" fontId="12" fillId="0" borderId="0" xfId="0" applyFont="1" applyAlignment="1">
      <alignment horizontal="center"/>
    </xf>
    <xf numFmtId="0" fontId="7" fillId="0" borderId="8" xfId="0" applyFont="1" applyBorder="1" applyAlignment="1">
      <alignment horizontal="left" vertical="top" wrapText="1"/>
    </xf>
    <xf numFmtId="0" fontId="7" fillId="0" borderId="7" xfId="0" applyFont="1" applyBorder="1" applyAlignment="1">
      <alignment horizontal="left" vertical="top" wrapText="1"/>
    </xf>
    <xf numFmtId="0" fontId="7" fillId="0" borderId="6" xfId="0" applyFont="1" applyBorder="1" applyAlignment="1">
      <alignment horizontal="left" vertical="top" wrapText="1"/>
    </xf>
    <xf numFmtId="0" fontId="7" fillId="0" borderId="5" xfId="0" applyFont="1" applyBorder="1" applyAlignment="1">
      <alignment horizontal="left" vertical="top" wrapText="1"/>
    </xf>
    <xf numFmtId="0" fontId="7" fillId="0" borderId="4" xfId="0" applyFont="1" applyBorder="1" applyAlignment="1">
      <alignment horizontal="left" vertical="top" wrapText="1"/>
    </xf>
    <xf numFmtId="0" fontId="7" fillId="0" borderId="3" xfId="0" applyFont="1" applyBorder="1" applyAlignment="1">
      <alignment horizontal="left" vertical="top" wrapText="1"/>
    </xf>
    <xf numFmtId="0" fontId="7" fillId="0" borderId="1" xfId="0" applyFont="1" applyBorder="1" applyAlignment="1">
      <alignment horizontal="left" vertical="top" wrapText="1"/>
    </xf>
    <xf numFmtId="0" fontId="7" fillId="0" borderId="2" xfId="0" applyFont="1" applyBorder="1" applyAlignment="1">
      <alignment horizontal="left" vertical="top" wrapText="1"/>
    </xf>
    <xf numFmtId="0" fontId="0" fillId="0" borderId="0" xfId="0" applyAlignment="1">
      <alignment horizontal="center"/>
    </xf>
  </cellXfs>
  <cellStyles count="18">
    <cellStyle name="=C:\WINDOWS\SYSTEM32\COMMAND.COM" xfId="10" xr:uid="{00000000-0005-0000-0000-000000000000}"/>
    <cellStyle name="Comma" xfId="1" builtinId="3"/>
    <cellStyle name="Comma 2" xfId="3" xr:uid="{00000000-0005-0000-0000-000002000000}"/>
    <cellStyle name="Comma 3" xfId="4" xr:uid="{00000000-0005-0000-0000-000003000000}"/>
    <cellStyle name="Comma 4" xfId="5" xr:uid="{00000000-0005-0000-0000-000004000000}"/>
    <cellStyle name="Comma 5" xfId="12" xr:uid="{00000000-0005-0000-0000-000005000000}"/>
    <cellStyle name="Comma 6" xfId="15" xr:uid="{00000000-0005-0000-0000-000006000000}"/>
    <cellStyle name="Currency" xfId="13" builtinId="4"/>
    <cellStyle name="Currency 2" xfId="11" xr:uid="{00000000-0005-0000-0000-000008000000}"/>
    <cellStyle name="Hyperlink 2" xfId="17" xr:uid="{00000000-0005-0000-0000-000009000000}"/>
    <cellStyle name="Normal" xfId="0" builtinId="0"/>
    <cellStyle name="Normal 2" xfId="6" xr:uid="{00000000-0005-0000-0000-00000B000000}"/>
    <cellStyle name="Normal 3" xfId="7" xr:uid="{00000000-0005-0000-0000-00000C000000}"/>
    <cellStyle name="Normal 4" xfId="8" xr:uid="{00000000-0005-0000-0000-00000D000000}"/>
    <cellStyle name="Normal 5" xfId="9" xr:uid="{00000000-0005-0000-0000-00000E000000}"/>
    <cellStyle name="Normal 6" xfId="14" xr:uid="{00000000-0005-0000-0000-00000F000000}"/>
    <cellStyle name="Percent" xfId="2" builtinId="5"/>
    <cellStyle name="Percent 2" xfId="16" xr:uid="{00000000-0005-0000-0000-000011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xdr:col>
      <xdr:colOff>425194</xdr:colOff>
      <xdr:row>13</xdr:row>
      <xdr:rowOff>32954</xdr:rowOff>
    </xdr:from>
    <xdr:to>
      <xdr:col>17</xdr:col>
      <xdr:colOff>510387</xdr:colOff>
      <xdr:row>24</xdr:row>
      <xdr:rowOff>23547</xdr:rowOff>
    </xdr:to>
    <xdr:pic>
      <xdr:nvPicPr>
        <xdr:cNvPr id="3" name="Picture 2">
          <a:extLst>
            <a:ext uri="{FF2B5EF4-FFF2-40B4-BE49-F238E27FC236}">
              <a16:creationId xmlns:a16="http://schemas.microsoft.com/office/drawing/2014/main" id="{9020C1A9-BB41-C276-748E-F4CEEA11B7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0585" y="5996432"/>
          <a:ext cx="11854780" cy="2177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1608667</xdr:colOff>
      <xdr:row>0</xdr:row>
      <xdr:rowOff>47625</xdr:rowOff>
    </xdr:from>
    <xdr:to>
      <xdr:col>1</xdr:col>
      <xdr:colOff>3760682</xdr:colOff>
      <xdr:row>3</xdr:row>
      <xdr:rowOff>53975</xdr:rowOff>
    </xdr:to>
    <xdr:pic>
      <xdr:nvPicPr>
        <xdr:cNvPr id="3" name="Picture 2" descr="Text&#10;&#10;Description automatically generated with medium confidence">
          <a:extLst>
            <a:ext uri="{FF2B5EF4-FFF2-40B4-BE49-F238E27FC236}">
              <a16:creationId xmlns:a16="http://schemas.microsoft.com/office/drawing/2014/main" id="{1D2A7BCE-16BA-4BF1-AD6B-C23452FE7F7B}"/>
            </a:ext>
          </a:extLst>
        </xdr:cNvPr>
        <xdr:cNvPicPr>
          <a:picLocks noChangeAspect="1"/>
        </xdr:cNvPicPr>
      </xdr:nvPicPr>
      <xdr:blipFill>
        <a:blip xmlns:r="http://schemas.openxmlformats.org/officeDocument/2006/relationships" r:embed="rId1"/>
        <a:stretch>
          <a:fillRect/>
        </a:stretch>
      </xdr:blipFill>
      <xdr:spPr>
        <a:xfrm>
          <a:off x="1767417" y="47625"/>
          <a:ext cx="2152015" cy="466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731520</xdr:colOff>
      <xdr:row>35</xdr:row>
      <xdr:rowOff>144780</xdr:rowOff>
    </xdr:from>
    <xdr:to>
      <xdr:col>1</xdr:col>
      <xdr:colOff>1203960</xdr:colOff>
      <xdr:row>37</xdr:row>
      <xdr:rowOff>38100</xdr:rowOff>
    </xdr:to>
    <xdr:sp macro="" textlink="">
      <xdr:nvSpPr>
        <xdr:cNvPr id="3" name="Rectangle 2">
          <a:extLst>
            <a:ext uri="{FF2B5EF4-FFF2-40B4-BE49-F238E27FC236}">
              <a16:creationId xmlns:a16="http://schemas.microsoft.com/office/drawing/2014/main" id="{00000000-0008-0000-0300-000003000000}"/>
            </a:ext>
          </a:extLst>
        </xdr:cNvPr>
        <xdr:cNvSpPr/>
      </xdr:nvSpPr>
      <xdr:spPr>
        <a:xfrm>
          <a:off x="731520" y="7078980"/>
          <a:ext cx="1836420" cy="28956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190500</xdr:colOff>
      <xdr:row>0</xdr:row>
      <xdr:rowOff>57150</xdr:rowOff>
    </xdr:from>
    <xdr:to>
      <xdr:col>10</xdr:col>
      <xdr:colOff>8690</xdr:colOff>
      <xdr:row>36</xdr:row>
      <xdr:rowOff>56250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90500" y="57150"/>
          <a:ext cx="6676190" cy="7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uspacegroups\accounting\OFA\Debt%20Mgt\Capital%20Bank\Model%20for%20FY12%20Budget\Capital%20Bank%20Modeling%20for%20FY%202012%20-%20Nov%2022%20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_hardcoded"/>
      <sheetName val="Worksheet"/>
      <sheetName val="Consol Results 2"/>
      <sheetName val="Capital Bank Assets"/>
      <sheetName val="Balance"/>
      <sheetName val="External"/>
      <sheetName val="Internal"/>
      <sheetName val="LoanInfo"/>
      <sheetName val="MBP Loans"/>
      <sheetName val="2000A&amp;B,2002A"/>
      <sheetName val="VUH Int Loans"/>
      <sheetName val="VUH_External"/>
      <sheetName val="VUH_Balance"/>
      <sheetName val="Acad_Balances"/>
      <sheetName val="FY2011 Debt Svc Components"/>
      <sheetName val="Balance v2"/>
      <sheetName val="Sheet1"/>
      <sheetName val="HL_BalSheet"/>
      <sheetName val="Sheet2"/>
      <sheetName val="legends"/>
      <sheetName val="Sheet3"/>
    </sheetNames>
    <sheetDataSet>
      <sheetData sheetId="0"/>
      <sheetData sheetId="1">
        <row r="23">
          <cell r="T23">
            <v>40359</v>
          </cell>
        </row>
        <row r="28">
          <cell r="B28">
            <v>6.5000000000000002E-2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5"/>
  <sheetViews>
    <sheetView tabSelected="1" topLeftCell="B1" workbookViewId="0">
      <selection activeCell="B19" sqref="B19"/>
    </sheetView>
  </sheetViews>
  <sheetFormatPr defaultRowHeight="15.75" x14ac:dyDescent="0.25"/>
  <cols>
    <col min="1" max="1" width="2.75" customWidth="1"/>
    <col min="2" max="2" width="106.375" bestFit="1" customWidth="1"/>
    <col min="3" max="3" width="14.875" customWidth="1"/>
    <col min="9" max="9" width="0" hidden="1" customWidth="1"/>
    <col min="10" max="10" width="20.5" hidden="1" customWidth="1"/>
    <col min="11" max="11" width="13.125" hidden="1" customWidth="1"/>
    <col min="12" max="15" width="8.625" hidden="1" customWidth="1"/>
  </cols>
  <sheetData>
    <row r="1" spans="1:15" x14ac:dyDescent="0.25">
      <c r="B1" s="89" t="s">
        <v>120</v>
      </c>
    </row>
    <row r="4" spans="1:15" x14ac:dyDescent="0.25">
      <c r="A4" s="90"/>
      <c r="B4" s="91" t="s">
        <v>103</v>
      </c>
      <c r="C4" s="91" t="s">
        <v>104</v>
      </c>
      <c r="J4" s="3" t="s">
        <v>92</v>
      </c>
    </row>
    <row r="5" spans="1:15" ht="16.5" thickBot="1" x14ac:dyDescent="0.3">
      <c r="A5" s="90">
        <v>1</v>
      </c>
      <c r="B5" s="90" t="s">
        <v>110</v>
      </c>
      <c r="C5" s="96"/>
      <c r="J5" s="3"/>
      <c r="N5" t="s">
        <v>117</v>
      </c>
    </row>
    <row r="6" spans="1:15" ht="16.5" thickBot="1" x14ac:dyDescent="0.3">
      <c r="A6" s="90">
        <v>2</v>
      </c>
      <c r="B6" s="90" t="s">
        <v>109</v>
      </c>
      <c r="C6" s="92"/>
      <c r="J6" s="75" t="s">
        <v>106</v>
      </c>
      <c r="K6" s="76" t="s">
        <v>72</v>
      </c>
      <c r="N6" t="s">
        <v>118</v>
      </c>
    </row>
    <row r="7" spans="1:15" ht="17.25" thickTop="1" thickBot="1" x14ac:dyDescent="0.3">
      <c r="A7" s="93">
        <v>3</v>
      </c>
      <c r="B7" s="90" t="s">
        <v>105</v>
      </c>
      <c r="C7" s="92"/>
      <c r="J7" s="77" t="s">
        <v>73</v>
      </c>
      <c r="K7" s="78">
        <v>4</v>
      </c>
      <c r="N7" t="s">
        <v>114</v>
      </c>
    </row>
    <row r="8" spans="1:15" ht="32.450000000000003" customHeight="1" thickBot="1" x14ac:dyDescent="0.3">
      <c r="A8" s="90">
        <v>4</v>
      </c>
      <c r="B8" s="94" t="s">
        <v>113</v>
      </c>
      <c r="C8" s="98"/>
      <c r="J8" s="79" t="s">
        <v>74</v>
      </c>
      <c r="K8" s="80">
        <v>5</v>
      </c>
      <c r="N8" t="s">
        <v>115</v>
      </c>
    </row>
    <row r="9" spans="1:15" ht="16.5" thickBot="1" x14ac:dyDescent="0.3">
      <c r="A9" s="90">
        <v>5</v>
      </c>
      <c r="B9" s="95" t="s">
        <v>116</v>
      </c>
      <c r="C9" s="97"/>
      <c r="J9" s="77" t="s">
        <v>75</v>
      </c>
      <c r="K9" s="78">
        <v>5</v>
      </c>
    </row>
    <row r="10" spans="1:15" ht="16.5" thickBot="1" x14ac:dyDescent="0.3">
      <c r="A10" s="90">
        <v>6</v>
      </c>
      <c r="B10" s="90" t="s">
        <v>107</v>
      </c>
      <c r="C10" s="97"/>
      <c r="J10" s="79" t="s">
        <v>76</v>
      </c>
      <c r="K10" s="80">
        <v>5</v>
      </c>
    </row>
    <row r="11" spans="1:15" ht="16.5" thickBot="1" x14ac:dyDescent="0.3">
      <c r="A11" s="90">
        <v>7</v>
      </c>
      <c r="B11" s="90" t="s">
        <v>111</v>
      </c>
      <c r="C11" s="97"/>
      <c r="J11" s="77" t="s">
        <v>77</v>
      </c>
      <c r="K11" s="78">
        <v>8</v>
      </c>
    </row>
    <row r="12" spans="1:15" ht="16.5" thickBot="1" x14ac:dyDescent="0.3">
      <c r="A12" s="90">
        <v>8</v>
      </c>
      <c r="B12" s="95" t="s">
        <v>108</v>
      </c>
      <c r="C12" s="97"/>
      <c r="J12" s="79" t="s">
        <v>78</v>
      </c>
      <c r="K12" s="80">
        <v>8</v>
      </c>
    </row>
    <row r="13" spans="1:15" ht="16.5" thickBot="1" x14ac:dyDescent="0.3">
      <c r="A13" s="90">
        <v>9</v>
      </c>
      <c r="B13" s="90" t="s">
        <v>112</v>
      </c>
      <c r="C13" s="97"/>
      <c r="J13" s="77" t="s">
        <v>79</v>
      </c>
      <c r="K13" s="78">
        <v>8</v>
      </c>
    </row>
    <row r="14" spans="1:15" ht="16.5" thickBot="1" x14ac:dyDescent="0.3">
      <c r="J14" s="79" t="s">
        <v>80</v>
      </c>
      <c r="K14" s="80">
        <v>10</v>
      </c>
    </row>
    <row r="15" spans="1:15" ht="16.5" thickBot="1" x14ac:dyDescent="0.3">
      <c r="B15" s="91"/>
      <c r="C15" s="91" t="s">
        <v>119</v>
      </c>
      <c r="J15" s="77" t="s">
        <v>81</v>
      </c>
      <c r="K15" s="78">
        <v>10</v>
      </c>
    </row>
    <row r="16" spans="1:15" ht="15.95" customHeight="1" thickBot="1" x14ac:dyDescent="0.3">
      <c r="B16" s="106" t="str" cm="1">
        <f t="array" ref="B16">IFERROR(_xlfn.IFS('Lease Analysis'!$D$36="Financing Lease","Based on market value of equipment, consider purchasing equipment instead of leasing", 'Lease Analysis'!D42="Financing Lease","Based on the estimated useful life vs the lease term, consider purchasing equipment instead of leasing",'Lease Analysis'!D46="Financing Lease","the inclusion of a bargain purchase option classifies this as a financing lease. Consider purchasing equipment instead of leasing",'Lease Analysis'!D50="Financing Lease","The transfer of the title at the end of the lease classifies this as a financing lease. Consider purchasing equipment instead of leasing",'Lease Analysis'!D54="Financing lease"," Based on the specialized use of the equipment, this lease is considered financing. Consider purchasing equipment instead of leasing")," ")</f>
        <v xml:space="preserve"> </v>
      </c>
      <c r="C16" s="107"/>
      <c r="D16" s="107"/>
      <c r="E16" s="107"/>
      <c r="F16" s="107"/>
      <c r="G16" s="107"/>
      <c r="H16" s="103"/>
      <c r="I16" s="102"/>
      <c r="J16" s="79" t="s">
        <v>82</v>
      </c>
      <c r="K16" s="80">
        <v>10</v>
      </c>
      <c r="L16" s="102"/>
      <c r="M16" s="102"/>
      <c r="N16" s="102"/>
      <c r="O16" s="102"/>
    </row>
    <row r="17" spans="2:15" ht="16.5" thickBot="1" x14ac:dyDescent="0.3">
      <c r="B17" s="106"/>
      <c r="C17" s="107"/>
      <c r="D17" s="107"/>
      <c r="E17" s="107"/>
      <c r="F17" s="107"/>
      <c r="G17" s="107"/>
      <c r="H17" s="103"/>
      <c r="I17" s="102"/>
      <c r="J17" s="77" t="s">
        <v>83</v>
      </c>
      <c r="K17" s="78">
        <v>10</v>
      </c>
      <c r="L17" s="102"/>
      <c r="M17" s="102"/>
      <c r="N17" s="102"/>
      <c r="O17" s="102"/>
    </row>
    <row r="18" spans="2:15" ht="16.5" thickBot="1" x14ac:dyDescent="0.3">
      <c r="B18" s="106"/>
      <c r="C18" s="107"/>
      <c r="D18" s="107"/>
      <c r="E18" s="107"/>
      <c r="F18" s="107"/>
      <c r="G18" s="107"/>
      <c r="H18" s="103"/>
      <c r="I18" s="102"/>
      <c r="J18" s="79" t="s">
        <v>84</v>
      </c>
      <c r="K18" s="80">
        <v>10</v>
      </c>
      <c r="L18" s="102"/>
      <c r="M18" s="102"/>
      <c r="N18" s="102"/>
      <c r="O18" s="102"/>
    </row>
    <row r="19" spans="2:15" ht="16.5" thickBot="1" x14ac:dyDescent="0.3">
      <c r="J19" s="77" t="s">
        <v>85</v>
      </c>
      <c r="K19" s="78">
        <v>10</v>
      </c>
    </row>
    <row r="20" spans="2:15" ht="16.5" thickBot="1" x14ac:dyDescent="0.3">
      <c r="J20" s="79" t="s">
        <v>86</v>
      </c>
      <c r="K20" s="80">
        <v>10</v>
      </c>
    </row>
    <row r="21" spans="2:15" ht="16.5" thickBot="1" x14ac:dyDescent="0.3">
      <c r="J21" s="77" t="s">
        <v>87</v>
      </c>
      <c r="K21" s="78">
        <v>15</v>
      </c>
    </row>
    <row r="22" spans="2:15" ht="16.5" thickBot="1" x14ac:dyDescent="0.3">
      <c r="J22" s="79" t="s">
        <v>88</v>
      </c>
      <c r="K22" s="80">
        <v>20</v>
      </c>
    </row>
    <row r="23" spans="2:15" ht="16.5" thickBot="1" x14ac:dyDescent="0.3">
      <c r="J23" s="77" t="s">
        <v>89</v>
      </c>
      <c r="K23" s="78">
        <v>20</v>
      </c>
    </row>
    <row r="24" spans="2:15" ht="16.5" thickBot="1" x14ac:dyDescent="0.3">
      <c r="J24" s="79" t="s">
        <v>90</v>
      </c>
      <c r="K24" s="80">
        <v>25</v>
      </c>
    </row>
    <row r="25" spans="2:15" ht="16.5" thickBot="1" x14ac:dyDescent="0.3">
      <c r="J25" s="81" t="s">
        <v>91</v>
      </c>
      <c r="K25" s="82">
        <v>50</v>
      </c>
    </row>
  </sheetData>
  <mergeCells count="2">
    <mergeCell ref="B16:B18"/>
    <mergeCell ref="C16:G18"/>
  </mergeCells>
  <conditionalFormatting sqref="B16:B18">
    <cfRule type="notContainsBlanks" dxfId="2" priority="2">
      <formula>LEN(TRIM(B16))&gt;0</formula>
    </cfRule>
  </conditionalFormatting>
  <dataValidations disablePrompts="1" count="3">
    <dataValidation type="list" allowBlank="1" showInputMessage="1" showErrorMessage="1" sqref="C9" xr:uid="{00000000-0002-0000-0000-000000000000}">
      <formula1>$J$7:$J$25</formula1>
    </dataValidation>
    <dataValidation type="list" allowBlank="1" showInputMessage="1" showErrorMessage="1" sqref="C10 C12:C13" xr:uid="{00000000-0002-0000-0000-000001000000}">
      <formula1>$N$5:$N$6</formula1>
    </dataValidation>
    <dataValidation type="list" allowBlank="1" showInputMessage="1" showErrorMessage="1" sqref="C11" xr:uid="{00000000-0002-0000-0000-000002000000}">
      <formula1>$N$7:$N$8</formula1>
    </dataValidation>
  </dataValidation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E45"/>
  <sheetViews>
    <sheetView topLeftCell="A10" zoomScale="115" zoomScaleNormal="115" workbookViewId="0">
      <selection activeCell="E30" sqref="E30"/>
    </sheetView>
  </sheetViews>
  <sheetFormatPr defaultRowHeight="15.75" x14ac:dyDescent="0.25"/>
  <cols>
    <col min="1" max="1" width="14.125" customWidth="1"/>
    <col min="2" max="2" width="17.125" bestFit="1" customWidth="1"/>
    <col min="5" max="5" width="26.625" customWidth="1"/>
  </cols>
  <sheetData>
    <row r="1" spans="1:5" x14ac:dyDescent="0.25">
      <c r="A1" s="110" t="s">
        <v>63</v>
      </c>
      <c r="B1" s="110"/>
      <c r="C1" s="110"/>
      <c r="D1" s="110"/>
      <c r="E1" s="110"/>
    </row>
    <row r="2" spans="1:5" ht="40.5" customHeight="1" x14ac:dyDescent="0.25">
      <c r="A2" s="47">
        <v>1</v>
      </c>
      <c r="B2" s="109" t="s">
        <v>98</v>
      </c>
      <c r="C2" s="109"/>
      <c r="D2" s="109"/>
      <c r="E2" s="109"/>
    </row>
    <row r="3" spans="1:5" ht="61.35" customHeight="1" x14ac:dyDescent="0.25">
      <c r="A3" s="47">
        <v>2</v>
      </c>
      <c r="B3" s="109" t="s">
        <v>67</v>
      </c>
      <c r="C3" s="109"/>
      <c r="D3" s="109"/>
      <c r="E3" s="109"/>
    </row>
    <row r="4" spans="1:5" ht="56.85" customHeight="1" x14ac:dyDescent="0.25">
      <c r="A4" s="47">
        <v>3</v>
      </c>
      <c r="B4" s="109" t="s">
        <v>99</v>
      </c>
      <c r="C4" s="109"/>
      <c r="D4" s="109"/>
      <c r="E4" s="109"/>
    </row>
    <row r="5" spans="1:5" ht="28.35" customHeight="1" x14ac:dyDescent="0.25">
      <c r="A5" s="47">
        <v>4</v>
      </c>
      <c r="B5" s="109" t="s">
        <v>100</v>
      </c>
      <c r="C5" s="109"/>
      <c r="D5" s="109"/>
      <c r="E5" s="109"/>
    </row>
    <row r="6" spans="1:5" ht="39.6" customHeight="1" x14ac:dyDescent="0.25">
      <c r="A6" s="47">
        <v>5</v>
      </c>
      <c r="B6" s="109" t="s">
        <v>101</v>
      </c>
      <c r="C6" s="109"/>
      <c r="D6" s="109"/>
      <c r="E6" s="109"/>
    </row>
    <row r="7" spans="1:5" ht="61.35" customHeight="1" x14ac:dyDescent="0.25">
      <c r="A7" s="47">
        <v>6</v>
      </c>
      <c r="B7" s="109" t="s">
        <v>102</v>
      </c>
      <c r="C7" s="109"/>
      <c r="D7" s="109"/>
      <c r="E7" s="109"/>
    </row>
    <row r="8" spans="1:5" ht="36" customHeight="1" x14ac:dyDescent="0.25">
      <c r="A8" s="47">
        <v>7</v>
      </c>
      <c r="B8" s="109" t="s">
        <v>66</v>
      </c>
      <c r="C8" s="109"/>
      <c r="D8" s="109"/>
      <c r="E8" s="109"/>
    </row>
    <row r="9" spans="1:5" ht="28.35" customHeight="1" x14ac:dyDescent="0.25">
      <c r="A9" s="47">
        <v>8</v>
      </c>
      <c r="B9" s="109" t="s">
        <v>65</v>
      </c>
      <c r="C9" s="109"/>
      <c r="D9" s="109"/>
      <c r="E9" s="109"/>
    </row>
    <row r="10" spans="1:5" ht="28.35" customHeight="1" x14ac:dyDescent="0.25">
      <c r="A10" s="47">
        <v>9</v>
      </c>
      <c r="B10" s="109" t="s">
        <v>96</v>
      </c>
      <c r="C10" s="109"/>
      <c r="D10" s="109"/>
      <c r="E10" s="109"/>
    </row>
    <row r="11" spans="1:5" ht="28.35" customHeight="1" x14ac:dyDescent="0.25">
      <c r="A11" s="47">
        <v>10</v>
      </c>
      <c r="B11" s="109" t="s">
        <v>97</v>
      </c>
      <c r="C11" s="109"/>
      <c r="D11" s="109"/>
      <c r="E11" s="109"/>
    </row>
    <row r="12" spans="1:5" ht="28.35" customHeight="1" x14ac:dyDescent="0.25">
      <c r="A12" s="47"/>
      <c r="B12" s="108"/>
      <c r="C12" s="108"/>
      <c r="D12" s="108"/>
      <c r="E12" s="108"/>
    </row>
    <row r="13" spans="1:5" x14ac:dyDescent="0.25">
      <c r="A13" s="2"/>
      <c r="B13" s="66"/>
      <c r="C13" s="66"/>
      <c r="D13" s="66"/>
      <c r="E13" s="66"/>
    </row>
    <row r="14" spans="1:5" x14ac:dyDescent="0.25">
      <c r="A14" s="2"/>
      <c r="B14" s="66"/>
      <c r="C14" s="66"/>
      <c r="D14" s="66"/>
      <c r="E14" s="66"/>
    </row>
    <row r="15" spans="1:5" x14ac:dyDescent="0.25">
      <c r="A15" s="3" t="s">
        <v>64</v>
      </c>
      <c r="B15" s="105" t="s">
        <v>129</v>
      </c>
    </row>
    <row r="16" spans="1:5" x14ac:dyDescent="0.25">
      <c r="A16" s="2" t="s">
        <v>61</v>
      </c>
      <c r="B16" s="2" t="s">
        <v>70</v>
      </c>
    </row>
    <row r="17" spans="1:2" x14ac:dyDescent="0.25">
      <c r="A17" s="2">
        <v>12</v>
      </c>
      <c r="B17" s="67">
        <v>4.3999999999999997E-2</v>
      </c>
    </row>
    <row r="18" spans="1:2" x14ac:dyDescent="0.25">
      <c r="A18" s="2">
        <v>36</v>
      </c>
      <c r="B18" s="67">
        <v>4.2099999999999999E-2</v>
      </c>
    </row>
    <row r="19" spans="1:2" x14ac:dyDescent="0.25">
      <c r="A19" s="2">
        <v>60</v>
      </c>
      <c r="B19" s="67">
        <v>4.3700000000000003E-2</v>
      </c>
    </row>
    <row r="20" spans="1:2" x14ac:dyDescent="0.25">
      <c r="A20" s="2">
        <v>120</v>
      </c>
      <c r="B20" s="67">
        <v>5.0099999999999999E-2</v>
      </c>
    </row>
    <row r="21" spans="1:2" x14ac:dyDescent="0.25">
      <c r="A21" s="2">
        <v>240</v>
      </c>
      <c r="B21" s="67">
        <v>5.5100000000000003E-2</v>
      </c>
    </row>
    <row r="22" spans="1:2" x14ac:dyDescent="0.25">
      <c r="A22" s="2">
        <v>360</v>
      </c>
      <c r="B22" s="67">
        <v>5.6099999999999997E-2</v>
      </c>
    </row>
    <row r="23" spans="1:2" x14ac:dyDescent="0.25">
      <c r="A23" s="2"/>
      <c r="B23" s="2"/>
    </row>
    <row r="25" spans="1:2" ht="16.5" thickBot="1" x14ac:dyDescent="0.3">
      <c r="A25" s="3" t="s">
        <v>92</v>
      </c>
    </row>
    <row r="26" spans="1:2" ht="16.5" thickBot="1" x14ac:dyDescent="0.3">
      <c r="A26" s="75" t="s">
        <v>106</v>
      </c>
      <c r="B26" s="76" t="s">
        <v>72</v>
      </c>
    </row>
    <row r="27" spans="1:2" ht="17.25" thickTop="1" thickBot="1" x14ac:dyDescent="0.3">
      <c r="A27" s="77" t="s">
        <v>73</v>
      </c>
      <c r="B27" s="78">
        <v>4</v>
      </c>
    </row>
    <row r="28" spans="1:2" ht="16.5" thickBot="1" x14ac:dyDescent="0.3">
      <c r="A28" s="79" t="s">
        <v>74</v>
      </c>
      <c r="B28" s="80">
        <v>3</v>
      </c>
    </row>
    <row r="29" spans="1:2" ht="16.5" thickBot="1" x14ac:dyDescent="0.3">
      <c r="A29" s="77" t="s">
        <v>75</v>
      </c>
      <c r="B29" s="78">
        <v>4</v>
      </c>
    </row>
    <row r="30" spans="1:2" ht="16.5" thickBot="1" x14ac:dyDescent="0.3">
      <c r="A30" s="79" t="s">
        <v>76</v>
      </c>
      <c r="B30" s="80">
        <v>5</v>
      </c>
    </row>
    <row r="31" spans="1:2" ht="16.5" thickBot="1" x14ac:dyDescent="0.3">
      <c r="A31" s="77" t="s">
        <v>77</v>
      </c>
      <c r="B31" s="78">
        <v>8</v>
      </c>
    </row>
    <row r="32" spans="1:2" ht="16.5" thickBot="1" x14ac:dyDescent="0.3">
      <c r="A32" s="79" t="s">
        <v>78</v>
      </c>
      <c r="B32" s="80">
        <v>8</v>
      </c>
    </row>
    <row r="33" spans="1:2" ht="16.5" thickBot="1" x14ac:dyDescent="0.3">
      <c r="A33" s="77" t="s">
        <v>79</v>
      </c>
      <c r="B33" s="78">
        <v>8</v>
      </c>
    </row>
    <row r="34" spans="1:2" ht="16.5" thickBot="1" x14ac:dyDescent="0.3">
      <c r="A34" s="79" t="s">
        <v>80</v>
      </c>
      <c r="B34" s="80">
        <v>10</v>
      </c>
    </row>
    <row r="35" spans="1:2" ht="16.5" thickBot="1" x14ac:dyDescent="0.3">
      <c r="A35" s="77" t="s">
        <v>81</v>
      </c>
      <c r="B35" s="78">
        <v>10</v>
      </c>
    </row>
    <row r="36" spans="1:2" ht="16.5" thickBot="1" x14ac:dyDescent="0.3">
      <c r="A36" s="79" t="s">
        <v>82</v>
      </c>
      <c r="B36" s="80">
        <v>10</v>
      </c>
    </row>
    <row r="37" spans="1:2" ht="16.5" thickBot="1" x14ac:dyDescent="0.3">
      <c r="A37" s="77" t="s">
        <v>83</v>
      </c>
      <c r="B37" s="78">
        <v>10</v>
      </c>
    </row>
    <row r="38" spans="1:2" ht="16.5" thickBot="1" x14ac:dyDescent="0.3">
      <c r="A38" s="79" t="s">
        <v>84</v>
      </c>
      <c r="B38" s="80">
        <v>10</v>
      </c>
    </row>
    <row r="39" spans="1:2" ht="16.5" thickBot="1" x14ac:dyDescent="0.3">
      <c r="A39" s="77" t="s">
        <v>85</v>
      </c>
      <c r="B39" s="78">
        <v>10</v>
      </c>
    </row>
    <row r="40" spans="1:2" ht="16.5" thickBot="1" x14ac:dyDescent="0.3">
      <c r="A40" s="79" t="s">
        <v>86</v>
      </c>
      <c r="B40" s="80">
        <v>10</v>
      </c>
    </row>
    <row r="41" spans="1:2" ht="16.5" thickBot="1" x14ac:dyDescent="0.3">
      <c r="A41" s="77" t="s">
        <v>87</v>
      </c>
      <c r="B41" s="78">
        <v>15</v>
      </c>
    </row>
    <row r="42" spans="1:2" ht="16.5" thickBot="1" x14ac:dyDescent="0.3">
      <c r="A42" s="79" t="s">
        <v>88</v>
      </c>
      <c r="B42" s="80">
        <v>20</v>
      </c>
    </row>
    <row r="43" spans="1:2" ht="16.5" thickBot="1" x14ac:dyDescent="0.3">
      <c r="A43" s="77" t="s">
        <v>89</v>
      </c>
      <c r="B43" s="78">
        <v>20</v>
      </c>
    </row>
    <row r="44" spans="1:2" ht="16.5" thickBot="1" x14ac:dyDescent="0.3">
      <c r="A44" s="79" t="s">
        <v>90</v>
      </c>
      <c r="B44" s="80">
        <v>25</v>
      </c>
    </row>
    <row r="45" spans="1:2" ht="16.5" thickBot="1" x14ac:dyDescent="0.3">
      <c r="A45" s="81" t="s">
        <v>91</v>
      </c>
      <c r="B45" s="82">
        <v>50</v>
      </c>
    </row>
  </sheetData>
  <mergeCells count="12">
    <mergeCell ref="B12:E12"/>
    <mergeCell ref="B9:E9"/>
    <mergeCell ref="B10:E10"/>
    <mergeCell ref="B11:E11"/>
    <mergeCell ref="A1:E1"/>
    <mergeCell ref="B5:E5"/>
    <mergeCell ref="B8:E8"/>
    <mergeCell ref="B2:E2"/>
    <mergeCell ref="B3:E3"/>
    <mergeCell ref="B4:E4"/>
    <mergeCell ref="B6:E6"/>
    <mergeCell ref="B7:E7"/>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4:J70"/>
  <sheetViews>
    <sheetView showGridLines="0" topLeftCell="A10" zoomScale="120" zoomScaleNormal="120" workbookViewId="0">
      <selection activeCell="B32" sqref="B32"/>
    </sheetView>
  </sheetViews>
  <sheetFormatPr defaultColWidth="9" defaultRowHeight="12" customHeight="1" x14ac:dyDescent="0.2"/>
  <cols>
    <col min="1" max="1" width="2.125" style="29" customWidth="1"/>
    <col min="2" max="2" width="69.5" style="2" customWidth="1"/>
    <col min="3" max="3" width="2.625" style="2" customWidth="1"/>
    <col min="4" max="4" width="23.625" style="2" bestFit="1" customWidth="1"/>
    <col min="5" max="5" width="9.375" style="2" bestFit="1" customWidth="1"/>
    <col min="6" max="8" width="9" style="2"/>
    <col min="9" max="10" width="13.5" style="2" bestFit="1" customWidth="1"/>
    <col min="11" max="16384" width="9" style="2"/>
  </cols>
  <sheetData>
    <row r="4" spans="1:9" ht="12" customHeight="1" x14ac:dyDescent="0.2">
      <c r="A4" s="33" t="s">
        <v>21</v>
      </c>
      <c r="C4" s="34"/>
      <c r="D4" s="34"/>
      <c r="F4" s="34"/>
    </row>
    <row r="5" spans="1:9" x14ac:dyDescent="0.2">
      <c r="A5" s="30" t="s">
        <v>20</v>
      </c>
      <c r="C5" s="34"/>
      <c r="D5" s="34"/>
      <c r="F5" s="34"/>
    </row>
    <row r="6" spans="1:9" ht="12" customHeight="1" x14ac:dyDescent="0.2">
      <c r="A6" s="29" t="s">
        <v>44</v>
      </c>
    </row>
    <row r="7" spans="1:9" ht="12" customHeight="1" thickBot="1" x14ac:dyDescent="0.25">
      <c r="B7" s="3"/>
    </row>
    <row r="8" spans="1:9" ht="12" customHeight="1" x14ac:dyDescent="0.2">
      <c r="A8" s="35"/>
      <c r="B8" s="36" t="s">
        <v>19</v>
      </c>
      <c r="C8" s="36"/>
      <c r="D8" s="99"/>
      <c r="E8" s="37"/>
    </row>
    <row r="9" spans="1:9" ht="12" customHeight="1" x14ac:dyDescent="0.2">
      <c r="A9" s="38"/>
      <c r="B9" s="39" t="s">
        <v>18</v>
      </c>
      <c r="D9" s="40"/>
      <c r="E9" s="37"/>
    </row>
    <row r="10" spans="1:9" ht="12" customHeight="1" x14ac:dyDescent="0.2">
      <c r="A10" s="38"/>
      <c r="D10" s="40"/>
      <c r="E10" s="37"/>
    </row>
    <row r="11" spans="1:9" ht="12" customHeight="1" x14ac:dyDescent="0.2">
      <c r="A11" s="38"/>
      <c r="B11" s="39" t="s">
        <v>17</v>
      </c>
      <c r="D11" s="100"/>
      <c r="E11" s="37"/>
    </row>
    <row r="12" spans="1:9" ht="12" customHeight="1" x14ac:dyDescent="0.2">
      <c r="A12" s="38"/>
      <c r="B12" s="39" t="s">
        <v>16</v>
      </c>
      <c r="D12" s="100"/>
      <c r="E12" s="41"/>
    </row>
    <row r="13" spans="1:9" ht="25.35" customHeight="1" x14ac:dyDescent="0.2">
      <c r="A13" s="38"/>
      <c r="B13" s="39" t="s">
        <v>15</v>
      </c>
      <c r="D13" s="100"/>
    </row>
    <row r="14" spans="1:9" ht="12" customHeight="1" x14ac:dyDescent="0.2">
      <c r="A14" s="38"/>
      <c r="B14" s="39" t="s">
        <v>14</v>
      </c>
      <c r="D14" s="100"/>
      <c r="I14" s="42"/>
    </row>
    <row r="15" spans="1:9" ht="12" customHeight="1" thickBot="1" x14ac:dyDescent="0.25">
      <c r="A15" s="43"/>
      <c r="B15" s="44" t="s">
        <v>40</v>
      </c>
      <c r="C15" s="45"/>
      <c r="D15" s="101"/>
    </row>
    <row r="16" spans="1:9" ht="12" customHeight="1" thickBot="1" x14ac:dyDescent="0.25">
      <c r="A16" s="46"/>
      <c r="C16" s="47"/>
      <c r="D16" s="48"/>
    </row>
    <row r="17" spans="1:9" ht="12" customHeight="1" x14ac:dyDescent="0.2">
      <c r="A17" s="53" t="s">
        <v>125</v>
      </c>
      <c r="B17" s="54"/>
      <c r="C17" s="36"/>
      <c r="D17" s="55"/>
    </row>
    <row r="18" spans="1:9" ht="12" customHeight="1" x14ac:dyDescent="0.2">
      <c r="A18" s="56"/>
      <c r="B18" s="2" t="s">
        <v>121</v>
      </c>
      <c r="D18" s="104"/>
    </row>
    <row r="19" spans="1:9" ht="12" customHeight="1" thickBot="1" x14ac:dyDescent="0.25">
      <c r="A19" s="56"/>
      <c r="B19" s="2" t="s">
        <v>122</v>
      </c>
      <c r="D19" s="104"/>
    </row>
    <row r="20" spans="1:9" ht="12" customHeight="1" thickBot="1" x14ac:dyDescent="0.25">
      <c r="A20" s="56"/>
      <c r="B20" s="63" t="s">
        <v>52</v>
      </c>
      <c r="D20" s="52" t="str">
        <f>IF(AND(D18="Y",D19="Y"),"Lease","Not a Lease")</f>
        <v>Not a Lease</v>
      </c>
    </row>
    <row r="21" spans="1:9" ht="12" customHeight="1" x14ac:dyDescent="0.2">
      <c r="A21" s="56"/>
      <c r="B21" s="3"/>
      <c r="D21" s="40"/>
    </row>
    <row r="22" spans="1:9" ht="12" customHeight="1" x14ac:dyDescent="0.2">
      <c r="A22" s="38"/>
      <c r="B22" s="4" t="s">
        <v>123</v>
      </c>
      <c r="D22" s="83" t="str">
        <f>IF('Input Tab'!C6&lt;=12,"Y","N")</f>
        <v>Y</v>
      </c>
    </row>
    <row r="23" spans="1:9" ht="12" customHeight="1" x14ac:dyDescent="0.2">
      <c r="A23" s="38"/>
      <c r="B23" s="4" t="s">
        <v>53</v>
      </c>
      <c r="D23" s="57">
        <f>+(D30*12)</f>
        <v>0</v>
      </c>
      <c r="E23" s="71"/>
    </row>
    <row r="24" spans="1:9" ht="12" customHeight="1" thickBot="1" x14ac:dyDescent="0.25">
      <c r="A24" s="38"/>
      <c r="B24" s="4" t="s">
        <v>124</v>
      </c>
      <c r="D24" s="83" t="str">
        <f>IF(D23&lt;=100000,"Y","N")</f>
        <v>Y</v>
      </c>
    </row>
    <row r="25" spans="1:9" ht="12" customHeight="1" thickBot="1" x14ac:dyDescent="0.25">
      <c r="A25" s="43"/>
      <c r="B25" s="65" t="s">
        <v>43</v>
      </c>
      <c r="C25" s="45"/>
      <c r="D25" s="52" t="str">
        <f>IF(OR(D23="Y",D24="Y"),"Exception","Not an exception")</f>
        <v>Exception</v>
      </c>
    </row>
    <row r="26" spans="1:9" ht="12" customHeight="1" x14ac:dyDescent="0.2">
      <c r="A26" s="46"/>
      <c r="C26" s="47"/>
      <c r="D26" s="48"/>
    </row>
    <row r="27" spans="1:9" ht="12" customHeight="1" x14ac:dyDescent="0.2">
      <c r="A27" s="49" t="s">
        <v>13</v>
      </c>
      <c r="D27" s="50"/>
    </row>
    <row r="28" spans="1:9" ht="12" customHeight="1" x14ac:dyDescent="0.2">
      <c r="A28" s="29" t="s">
        <v>5</v>
      </c>
      <c r="B28" s="4" t="s">
        <v>48</v>
      </c>
      <c r="D28" s="84">
        <f>'Input Tab'!C6</f>
        <v>0</v>
      </c>
    </row>
    <row r="29" spans="1:9" ht="12" customHeight="1" x14ac:dyDescent="0.2">
      <c r="A29" s="29" t="s">
        <v>4</v>
      </c>
      <c r="B29" s="4" t="s">
        <v>126</v>
      </c>
      <c r="D29" s="85">
        <f>'Input Tab'!C13</f>
        <v>0</v>
      </c>
    </row>
    <row r="30" spans="1:9" ht="12" customHeight="1" x14ac:dyDescent="0.2">
      <c r="A30" s="29" t="s">
        <v>11</v>
      </c>
      <c r="B30" s="4" t="s">
        <v>12</v>
      </c>
      <c r="D30" s="86">
        <f>'Input Tab'!C7</f>
        <v>0</v>
      </c>
      <c r="I30" s="5"/>
    </row>
    <row r="31" spans="1:9" ht="12" customHeight="1" x14ac:dyDescent="0.2">
      <c r="A31" s="29" t="s">
        <v>41</v>
      </c>
      <c r="B31" s="4" t="s">
        <v>49</v>
      </c>
      <c r="D31" s="31">
        <f>D28*D30</f>
        <v>0</v>
      </c>
      <c r="F31" s="74"/>
    </row>
    <row r="32" spans="1:9" ht="12" customHeight="1" x14ac:dyDescent="0.2">
      <c r="A32" s="29" t="s">
        <v>10</v>
      </c>
      <c r="B32" s="4" t="s">
        <v>62</v>
      </c>
      <c r="D32" s="68" t="str">
        <f>IFERROR(VLOOKUP($D$28,Instructions!$A$17:$B$22,2,TRUE),"-")</f>
        <v>-</v>
      </c>
      <c r="I32" s="5"/>
    </row>
    <row r="33" spans="1:10" ht="12" customHeight="1" x14ac:dyDescent="0.2">
      <c r="A33" s="29" t="s">
        <v>8</v>
      </c>
      <c r="B33" s="4" t="s">
        <v>9</v>
      </c>
      <c r="D33" s="87">
        <f>'Input Tab'!C8</f>
        <v>0</v>
      </c>
      <c r="E33" s="69" t="s">
        <v>69</v>
      </c>
    </row>
    <row r="34" spans="1:10" ht="12" customHeight="1" x14ac:dyDescent="0.2">
      <c r="A34" s="29" t="s">
        <v>47</v>
      </c>
      <c r="B34" s="4" t="s">
        <v>7</v>
      </c>
      <c r="D34" s="59" t="str">
        <f>IFERROR((PV((D32/12),D28,D30,,1)*-1),"-")</f>
        <v>-</v>
      </c>
      <c r="E34" s="73"/>
    </row>
    <row r="35" spans="1:10" ht="12" customHeight="1" x14ac:dyDescent="0.2">
      <c r="A35" s="30" t="s">
        <v>54</v>
      </c>
      <c r="B35" s="62" t="s">
        <v>42</v>
      </c>
      <c r="C35" s="3"/>
      <c r="D35" s="32">
        <f>IFERROR(+D34/D33,0)</f>
        <v>0</v>
      </c>
    </row>
    <row r="36" spans="1:10" ht="12" customHeight="1" x14ac:dyDescent="0.2">
      <c r="B36" s="63" t="s">
        <v>60</v>
      </c>
      <c r="D36" s="1" t="str">
        <f>IF(D35&gt;=0.9,"Financing Lease","-")</f>
        <v>-</v>
      </c>
      <c r="E36" s="72"/>
    </row>
    <row r="37" spans="1:10" ht="12" customHeight="1" x14ac:dyDescent="0.2">
      <c r="B37" s="3"/>
    </row>
    <row r="38" spans="1:10" ht="12" customHeight="1" x14ac:dyDescent="0.2">
      <c r="A38" s="49" t="s">
        <v>6</v>
      </c>
    </row>
    <row r="39" spans="1:10" ht="12" customHeight="1" x14ac:dyDescent="0.2">
      <c r="A39" s="29" t="s">
        <v>5</v>
      </c>
      <c r="B39" s="4" t="s">
        <v>71</v>
      </c>
      <c r="D39" s="84" t="str">
        <f>IFERROR(VLOOKUP('Input Tab'!$C$9,'Input Tab'!J7:K25,2,FALSE)*12," ")</f>
        <v xml:space="preserve"> </v>
      </c>
      <c r="E39" s="69" t="s">
        <v>94</v>
      </c>
    </row>
    <row r="40" spans="1:10" ht="12" customHeight="1" x14ac:dyDescent="0.2">
      <c r="A40" s="29" t="s">
        <v>4</v>
      </c>
      <c r="B40" s="4" t="s">
        <v>3</v>
      </c>
      <c r="D40" s="70">
        <f>+D28</f>
        <v>0</v>
      </c>
      <c r="J40" s="5"/>
    </row>
    <row r="41" spans="1:10" ht="12" customHeight="1" x14ac:dyDescent="0.2">
      <c r="A41" s="3" t="s">
        <v>11</v>
      </c>
      <c r="B41" s="3" t="s">
        <v>50</v>
      </c>
      <c r="C41" s="3"/>
      <c r="D41" s="58">
        <f>IFERROR(D40/D39,0)</f>
        <v>0</v>
      </c>
      <c r="J41" s="51"/>
    </row>
    <row r="42" spans="1:10" ht="12" customHeight="1" x14ac:dyDescent="0.2">
      <c r="B42" s="63" t="s">
        <v>59</v>
      </c>
      <c r="D42" s="1" t="str">
        <f>IF(D41&gt;=0.75, "Financing Lease","-")</f>
        <v>-</v>
      </c>
    </row>
    <row r="43" spans="1:10" ht="12" customHeight="1" x14ac:dyDescent="0.2">
      <c r="B43" s="3"/>
    </row>
    <row r="44" spans="1:10" ht="12" customHeight="1" x14ac:dyDescent="0.2">
      <c r="A44" s="49" t="s">
        <v>56</v>
      </c>
      <c r="I44" s="5"/>
    </row>
    <row r="45" spans="1:10" ht="12" customHeight="1" x14ac:dyDescent="0.2">
      <c r="B45" s="4" t="s">
        <v>127</v>
      </c>
      <c r="D45" s="85">
        <f>'Input Tab'!C10</f>
        <v>0</v>
      </c>
      <c r="I45" s="51"/>
    </row>
    <row r="46" spans="1:10" ht="12" customHeight="1" x14ac:dyDescent="0.2">
      <c r="B46" s="64" t="s">
        <v>68</v>
      </c>
      <c r="D46" s="1" t="str">
        <f>IF($D$45="Y","Financing Lease","-")</f>
        <v>-</v>
      </c>
    </row>
    <row r="47" spans="1:10" ht="12" customHeight="1" x14ac:dyDescent="0.2">
      <c r="B47" s="3"/>
    </row>
    <row r="48" spans="1:10" ht="12" customHeight="1" x14ac:dyDescent="0.2">
      <c r="A48" s="49" t="s">
        <v>55</v>
      </c>
    </row>
    <row r="49" spans="1:9" ht="12" customHeight="1" x14ac:dyDescent="0.2">
      <c r="B49" s="4" t="s">
        <v>128</v>
      </c>
      <c r="D49" s="85" t="str" cm="1">
        <f t="array" ref="D49">IFERROR(_xlfn.IFS('Input Tab'!$C$11="Returned","N",'Input Tab'!C11="Own","Y")," ")</f>
        <v xml:space="preserve"> </v>
      </c>
      <c r="I49" s="51"/>
    </row>
    <row r="50" spans="1:9" ht="12" customHeight="1" x14ac:dyDescent="0.2">
      <c r="B50" s="64" t="s">
        <v>45</v>
      </c>
      <c r="D50" s="1" t="str">
        <f>IF($D$49="Y", "Financing Lease", "-")</f>
        <v>-</v>
      </c>
    </row>
    <row r="51" spans="1:9" ht="12" customHeight="1" x14ac:dyDescent="0.2">
      <c r="B51" s="3"/>
    </row>
    <row r="52" spans="1:9" ht="12" customHeight="1" x14ac:dyDescent="0.2">
      <c r="A52" s="49" t="s">
        <v>57</v>
      </c>
    </row>
    <row r="53" spans="1:9" ht="12" customHeight="1" x14ac:dyDescent="0.2">
      <c r="B53" s="4" t="s">
        <v>58</v>
      </c>
      <c r="D53" s="85">
        <f>'Input Tab'!C12</f>
        <v>0</v>
      </c>
    </row>
    <row r="54" spans="1:9" ht="12" customHeight="1" x14ac:dyDescent="0.2">
      <c r="B54" s="64" t="s">
        <v>46</v>
      </c>
      <c r="D54" s="1" t="str">
        <f>IF(D53="Y", "Financing Lease", "-")</f>
        <v>-</v>
      </c>
    </row>
    <row r="55" spans="1:9" ht="12" customHeight="1" x14ac:dyDescent="0.2">
      <c r="B55" s="3"/>
    </row>
    <row r="56" spans="1:9" ht="12" customHeight="1" x14ac:dyDescent="0.2">
      <c r="A56" s="30" t="s">
        <v>51</v>
      </c>
      <c r="D56" s="61" t="str">
        <f>IF(OR(D36="Financing Lease", D42="Financing Lease",D46="Financing Lease",D50="Financing Lease",D54="Financing Lease"),"Financing Lease","Operating Lease")</f>
        <v>Operating Lease</v>
      </c>
    </row>
    <row r="57" spans="1:9" ht="12" customHeight="1" x14ac:dyDescent="0.2">
      <c r="A57" s="60" t="s">
        <v>93</v>
      </c>
    </row>
    <row r="58" spans="1:9" ht="12" customHeight="1" x14ac:dyDescent="0.2">
      <c r="B58" s="3"/>
    </row>
    <row r="59" spans="1:9" ht="12" customHeight="1" x14ac:dyDescent="0.2">
      <c r="A59" s="30" t="s">
        <v>2</v>
      </c>
    </row>
    <row r="60" spans="1:9" ht="12" customHeight="1" x14ac:dyDescent="0.2">
      <c r="A60" s="111" t="s">
        <v>1</v>
      </c>
      <c r="B60" s="112"/>
      <c r="C60" s="112"/>
      <c r="D60" s="113"/>
      <c r="E60" s="46"/>
      <c r="F60" s="46"/>
    </row>
    <row r="61" spans="1:9" ht="12" customHeight="1" x14ac:dyDescent="0.2">
      <c r="A61" s="114"/>
      <c r="B61" s="109"/>
      <c r="C61" s="109"/>
      <c r="D61" s="115"/>
      <c r="E61" s="46"/>
      <c r="F61" s="46"/>
    </row>
    <row r="62" spans="1:9" ht="12" customHeight="1" x14ac:dyDescent="0.2">
      <c r="A62" s="114"/>
      <c r="B62" s="109"/>
      <c r="C62" s="109"/>
      <c r="D62" s="115"/>
      <c r="E62" s="46"/>
      <c r="F62" s="46"/>
    </row>
    <row r="63" spans="1:9" ht="12" customHeight="1" x14ac:dyDescent="0.2">
      <c r="A63" s="114"/>
      <c r="B63" s="109"/>
      <c r="C63" s="109"/>
      <c r="D63" s="115"/>
      <c r="E63" s="46"/>
      <c r="F63" s="46"/>
    </row>
    <row r="64" spans="1:9" ht="12" customHeight="1" x14ac:dyDescent="0.2">
      <c r="A64" s="116"/>
      <c r="B64" s="117"/>
      <c r="C64" s="117"/>
      <c r="D64" s="118"/>
      <c r="E64" s="46"/>
      <c r="F64" s="46"/>
    </row>
    <row r="65" spans="2:2" ht="12" customHeight="1" x14ac:dyDescent="0.2">
      <c r="B65" s="3"/>
    </row>
    <row r="70" spans="2:2" ht="12" customHeight="1" x14ac:dyDescent="0.2">
      <c r="B70" s="30" t="s">
        <v>0</v>
      </c>
    </row>
  </sheetData>
  <mergeCells count="1">
    <mergeCell ref="A60:D64"/>
  </mergeCells>
  <conditionalFormatting sqref="D56">
    <cfRule type="cellIs" dxfId="1" priority="1" operator="equal">
      <formula>"Financing Lease"</formula>
    </cfRule>
    <cfRule type="cellIs" dxfId="0" priority="2" operator="equal">
      <formula>"""Financing Lease"""</formula>
    </cfRule>
  </conditionalFormatting>
  <pageMargins left="0.55000000000000004" right="0.75" top="0.75" bottom="0.64" header="0.5" footer="0.3"/>
  <pageSetup scale="61" orientation="portrait" horizontalDpi="1200" r:id="rId1"/>
  <headerFooter alignWithMargins="0">
    <oddFooter xml:space="preserve">&amp;L
&amp;R
</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
  <sheetViews>
    <sheetView workbookViewId="0">
      <selection activeCell="C24" sqref="C24"/>
    </sheetView>
  </sheetViews>
  <sheetFormatPr defaultRowHeight="15.75" x14ac:dyDescent="0.25"/>
  <cols>
    <col min="1" max="1" width="17.875" bestFit="1" customWidth="1"/>
    <col min="2" max="2" width="30.625" style="6" bestFit="1" customWidth="1"/>
    <col min="3" max="3" width="36.625" bestFit="1" customWidth="1"/>
    <col min="4" max="4" width="16.5" customWidth="1"/>
    <col min="5" max="5" width="13.125" customWidth="1"/>
    <col min="6" max="6" width="31.125" customWidth="1"/>
    <col min="7" max="8" width="13.125" customWidth="1"/>
  </cols>
  <sheetData>
    <row r="1" spans="1:1" x14ac:dyDescent="0.25">
      <c r="A1" s="88" t="s">
        <v>95</v>
      </c>
    </row>
  </sheetData>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3"/>
  <sheetViews>
    <sheetView workbookViewId="0">
      <selection activeCell="F2" sqref="F2"/>
    </sheetView>
  </sheetViews>
  <sheetFormatPr defaultRowHeight="15.75" x14ac:dyDescent="0.25"/>
  <cols>
    <col min="1" max="1" width="15.625" bestFit="1" customWidth="1"/>
    <col min="2" max="3" width="18.125" bestFit="1" customWidth="1"/>
    <col min="4" max="4" width="14.125" customWidth="1"/>
    <col min="5" max="5" width="20.125" bestFit="1" customWidth="1"/>
    <col min="6" max="6" width="26.625" bestFit="1" customWidth="1"/>
    <col min="7" max="7" width="11.125" bestFit="1" customWidth="1"/>
    <col min="8" max="8" width="16.625" bestFit="1" customWidth="1"/>
    <col min="9" max="9" width="15" bestFit="1" customWidth="1"/>
    <col min="10" max="10" width="21.125" bestFit="1" customWidth="1"/>
    <col min="11" max="11" width="13.5" bestFit="1" customWidth="1"/>
  </cols>
  <sheetData>
    <row r="1" spans="1:11" s="18" customFormat="1" x14ac:dyDescent="0.25">
      <c r="A1" s="19" t="s">
        <v>28</v>
      </c>
      <c r="B1" s="19" t="s">
        <v>38</v>
      </c>
      <c r="C1" s="26" t="s">
        <v>35</v>
      </c>
      <c r="D1" s="19" t="s">
        <v>36</v>
      </c>
      <c r="E1" s="19" t="s">
        <v>37</v>
      </c>
      <c r="F1" s="19" t="s">
        <v>39</v>
      </c>
      <c r="G1" s="19" t="s">
        <v>30</v>
      </c>
      <c r="H1" s="19" t="s">
        <v>31</v>
      </c>
      <c r="I1" s="19" t="s">
        <v>34</v>
      </c>
      <c r="J1" s="19" t="s">
        <v>32</v>
      </c>
      <c r="K1" s="20" t="s">
        <v>33</v>
      </c>
    </row>
    <row r="2" spans="1:11" s="21" customFormat="1" ht="16.5" thickBot="1" x14ac:dyDescent="0.3">
      <c r="A2" s="21" t="s">
        <v>29</v>
      </c>
      <c r="B2" s="21">
        <f>8*12</f>
        <v>96</v>
      </c>
      <c r="C2" s="27">
        <v>42522</v>
      </c>
      <c r="D2" s="22">
        <v>43395</v>
      </c>
      <c r="E2" s="23">
        <f>DATEDIF(C2,D2,"m")</f>
        <v>28</v>
      </c>
      <c r="F2" s="23">
        <f>+B2-E2</f>
        <v>68</v>
      </c>
      <c r="G2" s="24">
        <v>844319</v>
      </c>
      <c r="H2" s="24">
        <f>+G2/B2</f>
        <v>8794.9895833333339</v>
      </c>
      <c r="I2" s="24">
        <f>+H2*3</f>
        <v>26384.96875</v>
      </c>
      <c r="J2" s="24">
        <f>+H2*E2</f>
        <v>246259.70833333334</v>
      </c>
      <c r="K2" s="25">
        <f>+G2-J2</f>
        <v>598059.29166666663</v>
      </c>
    </row>
    <row r="3" spans="1:11" ht="16.5" thickTop="1" x14ac:dyDescent="0.25"/>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N21" sqref="N21"/>
    </sheetView>
  </sheetViews>
  <sheetFormatPr defaultRowHeight="15.7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4"/>
  <sheetViews>
    <sheetView workbookViewId="0">
      <selection activeCell="A6" sqref="A6"/>
    </sheetView>
  </sheetViews>
  <sheetFormatPr defaultRowHeight="15.75" x14ac:dyDescent="0.25"/>
  <cols>
    <col min="1" max="1" width="10.125" bestFit="1" customWidth="1"/>
    <col min="2" max="2" width="10.5" bestFit="1" customWidth="1"/>
    <col min="3" max="3" width="11.125" bestFit="1" customWidth="1"/>
    <col min="4" max="4" width="13.125" bestFit="1" customWidth="1"/>
    <col min="5" max="5" width="10.125" bestFit="1" customWidth="1"/>
  </cols>
  <sheetData>
    <row r="1" spans="1:5" x14ac:dyDescent="0.25">
      <c r="A1" s="119" t="s">
        <v>27</v>
      </c>
      <c r="B1" s="119"/>
      <c r="C1" s="119"/>
      <c r="D1" s="119"/>
      <c r="E1" s="119"/>
    </row>
    <row r="2" spans="1:5" x14ac:dyDescent="0.25">
      <c r="A2" s="17" t="s">
        <v>24</v>
      </c>
      <c r="B2" s="17" t="s">
        <v>22</v>
      </c>
      <c r="C2" s="17" t="s">
        <v>23</v>
      </c>
      <c r="D2" s="17" t="s">
        <v>25</v>
      </c>
      <c r="E2" s="17" t="s">
        <v>26</v>
      </c>
    </row>
    <row r="3" spans="1:5" x14ac:dyDescent="0.25">
      <c r="A3" s="12">
        <v>24</v>
      </c>
      <c r="B3" s="13">
        <v>9579.31</v>
      </c>
      <c r="C3" s="14">
        <f>+A3*B3</f>
        <v>229903.44</v>
      </c>
      <c r="D3" s="15">
        <v>200000</v>
      </c>
      <c r="E3" s="16">
        <f>+C3-D3</f>
        <v>29903.440000000002</v>
      </c>
    </row>
    <row r="4" spans="1:5" x14ac:dyDescent="0.25">
      <c r="A4">
        <v>36</v>
      </c>
      <c r="B4" s="6">
        <v>6773.89</v>
      </c>
      <c r="C4" s="7">
        <f t="shared" ref="C4" si="0">+A4*B4</f>
        <v>243860.04</v>
      </c>
      <c r="D4" s="8">
        <v>200000</v>
      </c>
      <c r="E4" s="9">
        <f t="shared" ref="E4" si="1">+C4-D4</f>
        <v>43860.040000000008</v>
      </c>
    </row>
    <row r="5" spans="1:5" x14ac:dyDescent="0.25">
      <c r="C5" s="28"/>
    </row>
    <row r="6" spans="1:5" x14ac:dyDescent="0.25">
      <c r="A6" s="10"/>
    </row>
    <row r="12" spans="1:5" x14ac:dyDescent="0.25">
      <c r="C12" s="11"/>
    </row>
    <row r="14" spans="1:5" x14ac:dyDescent="0.25">
      <c r="C14" s="6"/>
    </row>
  </sheetData>
  <mergeCells count="1">
    <mergeCell ref="A1:E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P U P S U I H Z F q 6 n A A A A + A A A A B I A H A B D b 2 5 m a W c v U G F j a 2 F n Z S 5 4 b W w g o h g A K K A U A A A A A A A A A A A A A A A A A A A A A A A A A A A A h Y + 9 D o I w G E V f h X S n L R h + Q j 7 K 4 C q J C d G 4 N r V C I x R D i + X d H H w k X 0 E S R d 0 c 7 8 k Z z n 3 c 7 l B M X e t d 5 W B U r 3 M U Y I o 8 q U V / V L r O 0 W h P f o o K B l s u z r y W 3 i x r k 0 3 m m K P G 2 k t G i H M O u x X u h 5 q E l A b k U G 4 q 0 c i O o 4 + s / s u + 0 s Z y L S R i s H / F s B A n M Y 7 i J M V R G g B Z M J R K f 5 V w L s Y U y A + E 9 d j a c Z B M a n 9 X A V k m k P c L 9 g R Q S w M E F A A C A A g A P U P S 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1 D 0 l A o i k e 4 D g A A A B E A A A A T A B w A R m 9 y b X V s Y X M v U 2 V j d G l v b j E u b S C i G A A o o B Q A A A A A A A A A A A A A A A A A A A A A A A A A A A A r T k 0 u y c z P U w i G 0 I b W A F B L A Q I t A B Q A A g A I A D 1 D 0 l C B 2 R a u p w A A A P g A A A A S A A A A A A A A A A A A A A A A A A A A A A B D b 2 5 m a W c v U G F j a 2 F n Z S 5 4 b W x Q S w E C L Q A U A A I A C A A 9 Q 9 J Q D 8 r p q 6 Q A A A D p A A A A E w A A A A A A A A A A A A A A A A D z A A A A W 0 N v b n R l b n R f V H l w Z X N d L n h t b F B L A Q I t A B Q A A g A I A D 1 D 0 l A 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7 s o N 2 a g 0 W S r n x z P O 7 u j L D A A A A A A I A A A A A A A N m A A D A A A A A E A A A A M 1 X B 2 8 Q I t D m C H a k b l Y N R f g A A A A A B I A A A K A A A A A Q A A A A 8 H A + f Z g 1 1 3 F s L 8 v M n V X M O l A A A A C 1 W 2 R F b v 6 l w l I M t V w q x F 2 v 3 8 V J Y f f U W G x r 7 B u Z p F 5 r w g z W 8 A 0 h W s y r 6 w K Q a F G R 0 a d u o 4 F t n V j s t l y r g 5 T k z 7 c E h 2 T / N c / H j D E 9 W q t c o 4 u J u B Q A A A B K L Z b i k 1 7 A 5 w M y j 3 / K V o 8 B Y k / I i g = = < / D a t a M a s h u p > 
</file>

<file path=customXml/itemProps1.xml><?xml version="1.0" encoding="utf-8"?>
<ds:datastoreItem xmlns:ds="http://schemas.openxmlformats.org/officeDocument/2006/customXml" ds:itemID="{4190497E-8823-49FD-BF8E-112F3DC4B1F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Input Tab</vt:lpstr>
      <vt:lpstr>Instructions</vt:lpstr>
      <vt:lpstr>Lease Analysis</vt:lpstr>
      <vt:lpstr>Market Value Support</vt:lpstr>
      <vt:lpstr>p2. Calculated Depreciation</vt:lpstr>
      <vt:lpstr>Quote 1935110 fromOrginal Lease</vt:lpstr>
      <vt:lpstr>Lease Term Options Computations</vt:lpstr>
      <vt:lpstr>'Lease Analysis'!Home</vt:lpstr>
      <vt:lpstr>'Lease Analysis'!ItemLeased</vt:lpstr>
      <vt:lpstr>'Lease Analysis'!Lessor</vt:lpstr>
      <vt:lpstr>'Lease Analysis'!Print_Area</vt:lpstr>
      <vt:lpstr>'Lease Analysis'!RentperMonth</vt:lpstr>
      <vt:lpstr>'Lease Analysis'!Term</vt:lpstr>
      <vt:lpstr>'Lease Analysis'!Test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wilcoxbe</dc:creator>
  <cp:lastModifiedBy>Hall, Scott</cp:lastModifiedBy>
  <cp:lastPrinted>2016-10-07T16:20:38Z</cp:lastPrinted>
  <dcterms:created xsi:type="dcterms:W3CDTF">2011-11-14T16:22:41Z</dcterms:created>
  <dcterms:modified xsi:type="dcterms:W3CDTF">2026-01-23T16:16:28Z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