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Y:\FandA\8-Facility_Renewal\Reporting\Reports\"/>
    </mc:Choice>
  </mc:AlternateContent>
  <xr:revisionPtr revIDLastSave="0" documentId="13_ncr:1_{56451DF5-6E3E-4BDB-9A7B-5A387A1F43B9}" xr6:coauthVersionLast="47" xr6:coauthVersionMax="47" xr10:uidLastSave="{00000000-0000-0000-0000-000000000000}"/>
  <bookViews>
    <workbookView xWindow="28680" yWindow="-120" windowWidth="29040" windowHeight="15720" tabRatio="762" activeTab="1" xr2:uid="{382D63A7-A064-43C4-BB7D-7DDF2E98A281}"/>
  </bookViews>
  <sheets>
    <sheet name="Guidance" sheetId="47" r:id="rId1"/>
    <sheet name="Summary_for Web-1" sheetId="18" r:id="rId2"/>
    <sheet name="Summary_for Web-2" sheetId="17" r:id="rId3"/>
    <sheet name="Contributions" sheetId="7" r:id="rId4"/>
    <sheet name="Shared Building Allocation" sheetId="8" r:id="rId5"/>
    <sheet name="Summary_by School" sheetId="9" r:id="rId6"/>
    <sheet name="Project Status" sheetId="3" r:id="rId7"/>
    <sheet name="Summary_by FY" sheetId="41" r:id="rId8"/>
    <sheet name="10085" sheetId="24" state="hidden" r:id="rId9"/>
    <sheet name="10098" sheetId="10" state="hidden" r:id="rId10"/>
    <sheet name="10146" sheetId="29" r:id="rId11"/>
    <sheet name="20179" sheetId="12" state="hidden" r:id="rId12"/>
    <sheet name="20336" sheetId="15" state="hidden" r:id="rId13"/>
    <sheet name="20431" sheetId="20" r:id="rId14"/>
    <sheet name="20478" sheetId="34" r:id="rId15"/>
    <sheet name="20489" sheetId="35" r:id="rId16"/>
    <sheet name="20497" sheetId="13" state="hidden" r:id="rId17"/>
    <sheet name="20506" sheetId="38" state="hidden" r:id="rId18"/>
    <sheet name="20562" sheetId="32" state="hidden" r:id="rId19"/>
    <sheet name="20566" sheetId="14" state="hidden" r:id="rId20"/>
    <sheet name="20573" sheetId="36" state="hidden" r:id="rId21"/>
    <sheet name="20574" sheetId="21" state="hidden" r:id="rId22"/>
    <sheet name="20577" sheetId="16" r:id="rId23"/>
    <sheet name="20644" sheetId="31" state="hidden" r:id="rId24"/>
    <sheet name="20645" sheetId="46" state="hidden" r:id="rId25"/>
    <sheet name="20667" sheetId="19" r:id="rId26"/>
    <sheet name="20668" sheetId="22" r:id="rId27"/>
    <sheet name="20698" sheetId="27" r:id="rId28"/>
    <sheet name="20700" sheetId="30" state="hidden" r:id="rId29"/>
    <sheet name="20701" sheetId="39" r:id="rId30"/>
    <sheet name="20702" sheetId="26" state="hidden" r:id="rId31"/>
    <sheet name="20718" sheetId="44" state="hidden" r:id="rId32"/>
    <sheet name="20723" sheetId="37" r:id="rId33"/>
    <sheet name="20724" sheetId="33" r:id="rId34"/>
    <sheet name="20735" sheetId="42" state="hidden" r:id="rId35"/>
    <sheet name="20767" sheetId="60" r:id="rId36"/>
    <sheet name="20771" sheetId="40" state="hidden" r:id="rId37"/>
    <sheet name="20792" sheetId="45" state="hidden" r:id="rId38"/>
    <sheet name="20831" sheetId="51" state="hidden" r:id="rId39"/>
    <sheet name="20832" sheetId="50" state="hidden" r:id="rId40"/>
    <sheet name="20833" sheetId="52" state="hidden" r:id="rId41"/>
    <sheet name="20772" sheetId="66" r:id="rId42"/>
    <sheet name="20811" sheetId="63" r:id="rId43"/>
    <sheet name="20812" sheetId="70" r:id="rId44"/>
    <sheet name="20857" sheetId="53" r:id="rId45"/>
    <sheet name="20884" sheetId="64" r:id="rId46"/>
    <sheet name="20885" sheetId="58" r:id="rId47"/>
    <sheet name="20911" sheetId="56" r:id="rId48"/>
    <sheet name="20912" sheetId="55" r:id="rId49"/>
    <sheet name="20913" sheetId="57" r:id="rId50"/>
    <sheet name="20922" sheetId="67" r:id="rId51"/>
    <sheet name="20924" sheetId="62" r:id="rId52"/>
    <sheet name="20936" sheetId="61" r:id="rId53"/>
    <sheet name="20940" sheetId="74" r:id="rId54"/>
    <sheet name="20945" sheetId="59" r:id="rId55"/>
    <sheet name="20958" sheetId="65" r:id="rId56"/>
    <sheet name="20962" sheetId="75" r:id="rId57"/>
    <sheet name="20982" sheetId="68" r:id="rId58"/>
    <sheet name="20984" sheetId="72" r:id="rId59"/>
    <sheet name="21004" sheetId="73" r:id="rId60"/>
    <sheet name="JE LOG_FY23" sheetId="11" r:id="rId61"/>
    <sheet name="JE LOG_FY24" sheetId="48" r:id="rId62"/>
    <sheet name="JE LOG_FY25" sheetId="69" r:id="rId63"/>
    <sheet name="lookup" sheetId="25" r:id="rId64"/>
    <sheet name="PUC GSF" sheetId="1" state="hidden" r:id="rId65"/>
    <sheet name="Notes" sheetId="6" state="hidden" r:id="rId66"/>
  </sheets>
  <definedNames>
    <definedName name="_xlnm._FilterDatabase" localSheetId="6" hidden="1">'Project Status'!$A$3:$Q$81</definedName>
    <definedName name="JE">'10098'!$E$9:$H$12</definedName>
    <definedName name="list" localSheetId="61">'JE LOG_FY24'!$T:$T</definedName>
    <definedName name="list" localSheetId="62">'JE LOG_FY25'!#REF!</definedName>
    <definedName name="list">'JE LOG_FY23'!$T:$T</definedName>
    <definedName name="_xlnm.Print_Area" localSheetId="4">'Shared Building Allocation'!$A$1:$G$15</definedName>
    <definedName name="Slicer_Building">#N/A</definedName>
    <definedName name="Slicer_Capex___opex">#N/A</definedName>
    <definedName name="Slicer_Lookup">#N/A</definedName>
    <definedName name="Slicer_Phase">#N/A</definedName>
  </definedNames>
  <calcPr calcId="191029"/>
  <pivotCaches>
    <pivotCache cacheId="0" r:id="rId67"/>
  </pivotCaches>
  <extLst>
    <ext xmlns:x14="http://schemas.microsoft.com/office/spreadsheetml/2009/9/main" uri="{BBE1A952-AA13-448e-AADC-164F8A28A991}">
      <x14:slicerCaches>
        <x14:slicerCache r:id="rId68"/>
        <x14:slicerCache r:id="rId69"/>
        <x14:slicerCache r:id="rId70"/>
        <x14:slicerCache r:id="rId7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9" i="41" l="1"/>
  <c r="I91" i="41"/>
  <c r="K91" i="41" s="1"/>
  <c r="J91" i="41"/>
  <c r="I92" i="41"/>
  <c r="J92" i="41"/>
  <c r="I93" i="41"/>
  <c r="J93" i="41"/>
  <c r="I94" i="41"/>
  <c r="J94" i="41"/>
  <c r="I95" i="41"/>
  <c r="K95" i="41" s="1"/>
  <c r="J95" i="41"/>
  <c r="I96" i="41"/>
  <c r="J96" i="41"/>
  <c r="I97" i="41"/>
  <c r="J97" i="41"/>
  <c r="I98" i="41"/>
  <c r="J98" i="41"/>
  <c r="I99" i="41"/>
  <c r="K99" i="41" s="1"/>
  <c r="J99" i="41"/>
  <c r="I100" i="41"/>
  <c r="K100" i="41" s="1"/>
  <c r="J100" i="41"/>
  <c r="I101" i="41"/>
  <c r="J101" i="41"/>
  <c r="I102" i="41"/>
  <c r="J102" i="41"/>
  <c r="I103" i="41"/>
  <c r="J103" i="41"/>
  <c r="I104" i="41"/>
  <c r="K104" i="41" s="1"/>
  <c r="J104" i="41"/>
  <c r="I105" i="41"/>
  <c r="J105" i="41"/>
  <c r="D91" i="41"/>
  <c r="E91" i="41"/>
  <c r="F91" i="41"/>
  <c r="G91" i="41"/>
  <c r="D92" i="41"/>
  <c r="E92" i="41"/>
  <c r="F92" i="41"/>
  <c r="G92" i="41"/>
  <c r="D93" i="41"/>
  <c r="E93" i="41"/>
  <c r="F93" i="41"/>
  <c r="G93" i="41"/>
  <c r="D94" i="41"/>
  <c r="E94" i="41"/>
  <c r="F94" i="41"/>
  <c r="G94" i="41"/>
  <c r="D95" i="41"/>
  <c r="E95" i="41"/>
  <c r="F95" i="41"/>
  <c r="G95" i="41"/>
  <c r="D96" i="41"/>
  <c r="E96" i="41"/>
  <c r="F96" i="41"/>
  <c r="G96" i="41"/>
  <c r="D97" i="41"/>
  <c r="E97" i="41"/>
  <c r="F97" i="41"/>
  <c r="G97" i="41"/>
  <c r="D98" i="41"/>
  <c r="E98" i="41"/>
  <c r="F98" i="41"/>
  <c r="G98" i="41"/>
  <c r="D99" i="41"/>
  <c r="E99" i="41"/>
  <c r="F99" i="41"/>
  <c r="G99" i="41"/>
  <c r="D100" i="41"/>
  <c r="E100" i="41"/>
  <c r="F100" i="41"/>
  <c r="G100" i="41"/>
  <c r="D101" i="41"/>
  <c r="E101" i="41"/>
  <c r="F101" i="41"/>
  <c r="G101" i="41"/>
  <c r="D102" i="41"/>
  <c r="E102" i="41"/>
  <c r="F102" i="41"/>
  <c r="G102" i="41"/>
  <c r="D103" i="41"/>
  <c r="E103" i="41"/>
  <c r="F103" i="41"/>
  <c r="G103" i="41"/>
  <c r="D104" i="41"/>
  <c r="E104" i="41"/>
  <c r="F104" i="41"/>
  <c r="G104" i="41"/>
  <c r="D105" i="41"/>
  <c r="E105" i="41"/>
  <c r="F105" i="41"/>
  <c r="G105" i="41"/>
  <c r="I79" i="41"/>
  <c r="J79" i="41"/>
  <c r="I80" i="41"/>
  <c r="J80" i="41"/>
  <c r="I81" i="41"/>
  <c r="J81" i="41"/>
  <c r="I82" i="41"/>
  <c r="J82" i="41"/>
  <c r="I83" i="41"/>
  <c r="J83" i="41"/>
  <c r="I84" i="41"/>
  <c r="J84" i="41"/>
  <c r="I85" i="41"/>
  <c r="J85" i="41"/>
  <c r="I86" i="41"/>
  <c r="J86" i="41"/>
  <c r="I87" i="41"/>
  <c r="J87" i="41"/>
  <c r="I88" i="41"/>
  <c r="J88" i="41"/>
  <c r="I89" i="41"/>
  <c r="J89" i="41"/>
  <c r="I90" i="41"/>
  <c r="J90" i="41"/>
  <c r="I109" i="41"/>
  <c r="J109" i="41"/>
  <c r="J78" i="41"/>
  <c r="I78" i="41"/>
  <c r="I36" i="41"/>
  <c r="I37" i="41"/>
  <c r="I38" i="41"/>
  <c r="I39" i="41"/>
  <c r="I40" i="41"/>
  <c r="I41" i="41"/>
  <c r="I42" i="41"/>
  <c r="I43" i="41"/>
  <c r="I44" i="41"/>
  <c r="I45" i="41"/>
  <c r="I46" i="41"/>
  <c r="I47" i="41"/>
  <c r="I48" i="41"/>
  <c r="I49" i="41"/>
  <c r="I50" i="41"/>
  <c r="I51" i="41"/>
  <c r="I52" i="41"/>
  <c r="I53" i="41"/>
  <c r="I54" i="41"/>
  <c r="I55" i="41"/>
  <c r="I56" i="41"/>
  <c r="I57" i="41"/>
  <c r="I58" i="41"/>
  <c r="I59" i="41"/>
  <c r="I61" i="41"/>
  <c r="I62" i="41"/>
  <c r="I63" i="41"/>
  <c r="I64" i="41"/>
  <c r="I65" i="41"/>
  <c r="I66" i="41"/>
  <c r="I67" i="41"/>
  <c r="I68" i="41"/>
  <c r="I69" i="41"/>
  <c r="I70" i="41"/>
  <c r="I71" i="41"/>
  <c r="I72" i="41"/>
  <c r="I73" i="41"/>
  <c r="I74" i="41"/>
  <c r="I35" i="41"/>
  <c r="I4" i="41"/>
  <c r="I5" i="41"/>
  <c r="I6" i="41"/>
  <c r="I7" i="41"/>
  <c r="I8" i="41"/>
  <c r="I9" i="41"/>
  <c r="I10" i="41"/>
  <c r="I11" i="41"/>
  <c r="I12" i="41"/>
  <c r="I13" i="41"/>
  <c r="I14" i="41"/>
  <c r="I15" i="41"/>
  <c r="I16" i="41"/>
  <c r="I17" i="41"/>
  <c r="I18" i="41"/>
  <c r="I19" i="41"/>
  <c r="I20" i="41"/>
  <c r="I21" i="41"/>
  <c r="I22" i="41"/>
  <c r="I23" i="41"/>
  <c r="I24" i="41"/>
  <c r="I25" i="41"/>
  <c r="I26" i="41"/>
  <c r="I27" i="41"/>
  <c r="I28" i="41"/>
  <c r="I29" i="41"/>
  <c r="I30" i="41"/>
  <c r="I31" i="41"/>
  <c r="I3" i="41"/>
  <c r="Z67" i="3"/>
  <c r="Z68" i="3"/>
  <c r="Z69" i="3"/>
  <c r="Z70" i="3"/>
  <c r="Z71" i="3"/>
  <c r="Z72" i="3"/>
  <c r="Z73" i="3"/>
  <c r="Z74" i="3"/>
  <c r="Z75" i="3"/>
  <c r="Z76" i="3"/>
  <c r="Z77" i="3"/>
  <c r="Z78" i="3"/>
  <c r="Z79" i="3"/>
  <c r="Z80" i="3"/>
  <c r="I57" i="17"/>
  <c r="H8"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H36" i="17"/>
  <c r="H37" i="17"/>
  <c r="H38"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76" i="17"/>
  <c r="H77" i="17"/>
  <c r="H78" i="17"/>
  <c r="H79" i="17"/>
  <c r="H80" i="17"/>
  <c r="H81" i="17"/>
  <c r="H82" i="17"/>
  <c r="H7" i="17"/>
  <c r="H6" i="17"/>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7" i="17"/>
  <c r="G6" i="17"/>
  <c r="E69" i="17"/>
  <c r="F69" i="17"/>
  <c r="E70" i="17"/>
  <c r="F70" i="17"/>
  <c r="E71" i="17"/>
  <c r="F71" i="17"/>
  <c r="E72" i="17"/>
  <c r="F72" i="17"/>
  <c r="E73" i="17"/>
  <c r="F73" i="17"/>
  <c r="E74" i="17"/>
  <c r="F74" i="17"/>
  <c r="E75" i="17"/>
  <c r="F75" i="17"/>
  <c r="E76" i="17"/>
  <c r="F76" i="17"/>
  <c r="E77" i="17"/>
  <c r="F77" i="17"/>
  <c r="E78" i="17"/>
  <c r="F78" i="17"/>
  <c r="E79" i="17"/>
  <c r="F79" i="17"/>
  <c r="E80" i="17"/>
  <c r="F80" i="17"/>
  <c r="E81" i="17"/>
  <c r="F81" i="17"/>
  <c r="E82" i="17"/>
  <c r="F82" i="17"/>
  <c r="B69" i="17"/>
  <c r="B70" i="17"/>
  <c r="B71" i="17"/>
  <c r="B72" i="17"/>
  <c r="B73" i="17"/>
  <c r="B74" i="17"/>
  <c r="B75" i="17"/>
  <c r="B76" i="17"/>
  <c r="B77" i="17"/>
  <c r="B78" i="17"/>
  <c r="B79" i="17"/>
  <c r="B80" i="17"/>
  <c r="B81" i="17"/>
  <c r="B82" i="17"/>
  <c r="A69" i="17"/>
  <c r="A70" i="17"/>
  <c r="A71" i="17" s="1"/>
  <c r="A72" i="17" s="1"/>
  <c r="A73" i="17" s="1"/>
  <c r="A74" i="17" s="1"/>
  <c r="A75" i="17" s="1"/>
  <c r="A76" i="17" s="1"/>
  <c r="A77" i="17" s="1"/>
  <c r="A78" i="17" s="1"/>
  <c r="A79" i="17" s="1"/>
  <c r="A80" i="17" s="1"/>
  <c r="A81" i="17" s="1"/>
  <c r="A82" i="17" s="1"/>
  <c r="F8" i="17"/>
  <c r="F9" i="17"/>
  <c r="F10" i="17"/>
  <c r="F11" i="17"/>
  <c r="F12" i="17"/>
  <c r="F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3" i="17"/>
  <c r="F64" i="17"/>
  <c r="F65" i="17"/>
  <c r="F66" i="17"/>
  <c r="F67" i="17"/>
  <c r="F68" i="17"/>
  <c r="F7" i="17"/>
  <c r="F6" i="17"/>
  <c r="U81" i="3"/>
  <c r="T81" i="3"/>
  <c r="S81" i="3"/>
  <c r="R81" i="3"/>
  <c r="M81" i="3"/>
  <c r="W67" i="3"/>
  <c r="I69" i="17" s="1"/>
  <c r="W68" i="3"/>
  <c r="I70" i="17" s="1"/>
  <c r="W69" i="3"/>
  <c r="I71" i="17" s="1"/>
  <c r="W70" i="3"/>
  <c r="I72" i="17" s="1"/>
  <c r="W71" i="3"/>
  <c r="I73" i="17" s="1"/>
  <c r="W72" i="3"/>
  <c r="I74" i="17" s="1"/>
  <c r="W73" i="3"/>
  <c r="I75" i="17" s="1"/>
  <c r="W74" i="3"/>
  <c r="I76" i="17" s="1"/>
  <c r="W75" i="3"/>
  <c r="I77" i="17" s="1"/>
  <c r="W76" i="3"/>
  <c r="I78" i="17" s="1"/>
  <c r="W77" i="3"/>
  <c r="I79" i="17" s="1"/>
  <c r="W78" i="3"/>
  <c r="I80" i="17" s="1"/>
  <c r="W79" i="3"/>
  <c r="I81" i="17" s="1"/>
  <c r="W80" i="3"/>
  <c r="I82" i="17" s="1"/>
  <c r="N81" i="3"/>
  <c r="O81" i="3"/>
  <c r="P81" i="3"/>
  <c r="Q81" i="3"/>
  <c r="G80" i="3"/>
  <c r="D82" i="17" s="1"/>
  <c r="G67" i="3"/>
  <c r="D69" i="17" s="1"/>
  <c r="G68" i="3"/>
  <c r="D70" i="17" s="1"/>
  <c r="G69" i="3"/>
  <c r="D71" i="17" s="1"/>
  <c r="G70" i="3"/>
  <c r="D72" i="17" s="1"/>
  <c r="G71" i="3"/>
  <c r="D73" i="17" s="1"/>
  <c r="G72" i="3"/>
  <c r="D74" i="17" s="1"/>
  <c r="G73" i="3"/>
  <c r="D75" i="17" s="1"/>
  <c r="G74" i="3"/>
  <c r="D76" i="17" s="1"/>
  <c r="G75" i="3"/>
  <c r="D77" i="17" s="1"/>
  <c r="G76" i="3"/>
  <c r="D78" i="17" s="1"/>
  <c r="G77" i="3"/>
  <c r="D79" i="17" s="1"/>
  <c r="G78" i="3"/>
  <c r="D80" i="17" s="1"/>
  <c r="G79" i="3"/>
  <c r="D81" i="17" s="1"/>
  <c r="T69" i="69"/>
  <c r="S69" i="69"/>
  <c r="U57" i="3"/>
  <c r="U53" i="3"/>
  <c r="H20" i="75"/>
  <c r="H18" i="75"/>
  <c r="C4" i="75"/>
  <c r="B4" i="75"/>
  <c r="E24" i="17"/>
  <c r="E4" i="19"/>
  <c r="Z66" i="3"/>
  <c r="D123" i="41"/>
  <c r="E123" i="41"/>
  <c r="F123" i="41"/>
  <c r="G123" i="41"/>
  <c r="D124" i="41"/>
  <c r="E124" i="41"/>
  <c r="F124" i="41"/>
  <c r="G124" i="41"/>
  <c r="H115" i="41"/>
  <c r="U22" i="3"/>
  <c r="O6" i="7"/>
  <c r="O7" i="7"/>
  <c r="K5" i="7"/>
  <c r="G7" i="7"/>
  <c r="E4" i="16"/>
  <c r="E67" i="17"/>
  <c r="E68" i="17"/>
  <c r="B67" i="17"/>
  <c r="B68" i="17"/>
  <c r="K97" i="41" l="1"/>
  <c r="K93" i="41"/>
  <c r="K102" i="41"/>
  <c r="K101" i="41"/>
  <c r="K105" i="41"/>
  <c r="K98" i="41"/>
  <c r="K94" i="41"/>
  <c r="K92" i="41"/>
  <c r="K96" i="41"/>
  <c r="K103" i="41"/>
  <c r="K88" i="41"/>
  <c r="K84" i="41"/>
  <c r="K81" i="41"/>
  <c r="K89" i="41"/>
  <c r="K85" i="41"/>
  <c r="K82" i="41"/>
  <c r="K90" i="41"/>
  <c r="K86" i="41"/>
  <c r="K83" i="41"/>
  <c r="K79" i="41"/>
  <c r="K87" i="41"/>
  <c r="K80" i="41"/>
  <c r="F83" i="17"/>
  <c r="U69" i="69"/>
  <c r="T70" i="69"/>
  <c r="G66" i="3"/>
  <c r="D68" i="17" s="1"/>
  <c r="W66" i="3"/>
  <c r="I68" i="17" s="1"/>
  <c r="U19" i="3"/>
  <c r="W19" i="3" s="1"/>
  <c r="I21" i="17" s="1"/>
  <c r="E39" i="17"/>
  <c r="B38" i="17"/>
  <c r="B39" i="17"/>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W6" i="3"/>
  <c r="I8" i="17" s="1"/>
  <c r="W8" i="3"/>
  <c r="I10" i="17" s="1"/>
  <c r="W9" i="3"/>
  <c r="I11" i="17" s="1"/>
  <c r="W10" i="3"/>
  <c r="I12" i="17" s="1"/>
  <c r="W11" i="3"/>
  <c r="I13" i="17" s="1"/>
  <c r="W12" i="3"/>
  <c r="I14" i="17" s="1"/>
  <c r="W13" i="3"/>
  <c r="I15" i="17" s="1"/>
  <c r="W14" i="3"/>
  <c r="I16" i="17" s="1"/>
  <c r="W15" i="3"/>
  <c r="I17" i="17" s="1"/>
  <c r="W16" i="3"/>
  <c r="I18" i="17" s="1"/>
  <c r="W17" i="3"/>
  <c r="I19" i="17" s="1"/>
  <c r="W18" i="3"/>
  <c r="I20" i="17" s="1"/>
  <c r="W20" i="3"/>
  <c r="I22" i="17" s="1"/>
  <c r="W21" i="3"/>
  <c r="I23" i="17" s="1"/>
  <c r="W22" i="3"/>
  <c r="I24" i="17" s="1"/>
  <c r="W23" i="3"/>
  <c r="I25" i="17" s="1"/>
  <c r="W24" i="3"/>
  <c r="I26" i="17" s="1"/>
  <c r="W25" i="3"/>
  <c r="I27" i="17" s="1"/>
  <c r="W26" i="3"/>
  <c r="I28" i="17" s="1"/>
  <c r="W27" i="3"/>
  <c r="I29" i="17" s="1"/>
  <c r="W28" i="3"/>
  <c r="I30" i="17" s="1"/>
  <c r="W30" i="3"/>
  <c r="I32" i="17" s="1"/>
  <c r="W31" i="3"/>
  <c r="I33" i="17" s="1"/>
  <c r="W32" i="3"/>
  <c r="I34" i="17" s="1"/>
  <c r="W33" i="3"/>
  <c r="I35" i="17" s="1"/>
  <c r="W35" i="3"/>
  <c r="I37" i="17" s="1"/>
  <c r="W36" i="3"/>
  <c r="I38" i="17" s="1"/>
  <c r="W38" i="3"/>
  <c r="I40" i="17" s="1"/>
  <c r="W39" i="3"/>
  <c r="I41" i="17" s="1"/>
  <c r="W40" i="3"/>
  <c r="I42" i="17" s="1"/>
  <c r="W41" i="3"/>
  <c r="I43" i="17" s="1"/>
  <c r="W42" i="3"/>
  <c r="I44" i="17" s="1"/>
  <c r="W43" i="3"/>
  <c r="I45" i="17" s="1"/>
  <c r="W45" i="3"/>
  <c r="I47" i="17" s="1"/>
  <c r="W46" i="3"/>
  <c r="I48" i="17" s="1"/>
  <c r="W47" i="3"/>
  <c r="I49" i="17" s="1"/>
  <c r="W48" i="3"/>
  <c r="I50" i="17" s="1"/>
  <c r="W49" i="3"/>
  <c r="I51" i="17" s="1"/>
  <c r="W50" i="3"/>
  <c r="I52" i="17" s="1"/>
  <c r="W51" i="3"/>
  <c r="I53" i="17" s="1"/>
  <c r="W52" i="3"/>
  <c r="I54" i="17" s="1"/>
  <c r="W54" i="3"/>
  <c r="I56" i="17" s="1"/>
  <c r="W57" i="3"/>
  <c r="I59" i="17" s="1"/>
  <c r="W58" i="3"/>
  <c r="I60" i="17" s="1"/>
  <c r="W61" i="3"/>
  <c r="I63" i="17" s="1"/>
  <c r="W62" i="3"/>
  <c r="I64" i="17" s="1"/>
  <c r="W63" i="3"/>
  <c r="W64" i="3"/>
  <c r="W65" i="3"/>
  <c r="U59" i="3"/>
  <c r="W59" i="3" s="1"/>
  <c r="I61" i="17" s="1"/>
  <c r="W53" i="3"/>
  <c r="I55" i="17" s="1"/>
  <c r="H18" i="74"/>
  <c r="H20" i="74" s="1"/>
  <c r="C4" i="74"/>
  <c r="B4" i="74"/>
  <c r="H4" i="68"/>
  <c r="U29" i="3"/>
  <c r="W29" i="3" s="1"/>
  <c r="I31" i="17" s="1"/>
  <c r="U61" i="3"/>
  <c r="H20" i="73"/>
  <c r="H18" i="73"/>
  <c r="C4" i="73"/>
  <c r="B4" i="73"/>
  <c r="S29" i="3"/>
  <c r="S26" i="3"/>
  <c r="S22" i="3"/>
  <c r="S19" i="3"/>
  <c r="H20" i="20"/>
  <c r="J121" i="41" l="1"/>
  <c r="K121" i="41" s="1"/>
  <c r="I65" i="17"/>
  <c r="J123" i="41"/>
  <c r="K123" i="41" s="1"/>
  <c r="I67" i="17"/>
  <c r="J122" i="41"/>
  <c r="K122" i="41" s="1"/>
  <c r="I66" i="17"/>
  <c r="J124" i="41"/>
  <c r="K124" i="41" s="1"/>
  <c r="H11" i="37"/>
  <c r="U44" i="3"/>
  <c r="W44" i="3" s="1"/>
  <c r="I46" i="17" s="1"/>
  <c r="N15" i="7"/>
  <c r="U60" i="3"/>
  <c r="W60" i="3" s="1"/>
  <c r="I62" i="17" s="1"/>
  <c r="H18" i="72"/>
  <c r="H4" i="72"/>
  <c r="G4" i="72"/>
  <c r="F4" i="72"/>
  <c r="E4" i="72"/>
  <c r="D4" i="72"/>
  <c r="C4" i="72"/>
  <c r="B4" i="72"/>
  <c r="H20" i="72" l="1"/>
  <c r="O19" i="7"/>
  <c r="O13" i="7"/>
  <c r="O12" i="7"/>
  <c r="O11" i="7"/>
  <c r="O14" i="7"/>
  <c r="O10" i="7"/>
  <c r="O9" i="7"/>
  <c r="O8" i="7"/>
  <c r="O5" i="7"/>
  <c r="D83" i="41"/>
  <c r="E83" i="41"/>
  <c r="F83" i="41"/>
  <c r="G83" i="41"/>
  <c r="O15" i="7" l="1"/>
  <c r="O18" i="7" s="1"/>
  <c r="O20" i="7" s="1"/>
  <c r="D109" i="41"/>
  <c r="E109" i="41"/>
  <c r="F109" i="41"/>
  <c r="G109" i="41"/>
  <c r="U34" i="3"/>
  <c r="W34" i="3" s="1"/>
  <c r="I36" i="17" s="1"/>
  <c r="U37" i="3"/>
  <c r="U56" i="3"/>
  <c r="W56" i="3" s="1"/>
  <c r="I58" i="17" s="1"/>
  <c r="T28" i="69"/>
  <c r="T29" i="69" s="1"/>
  <c r="S28" i="69"/>
  <c r="V37" i="3" l="1"/>
  <c r="V81" i="3" s="1"/>
  <c r="U28" i="69"/>
  <c r="E61" i="17"/>
  <c r="E62" i="17"/>
  <c r="E63" i="17"/>
  <c r="E64" i="17"/>
  <c r="E65" i="17"/>
  <c r="E66" i="17"/>
  <c r="B62" i="17"/>
  <c r="B61" i="17"/>
  <c r="B63" i="17"/>
  <c r="B64" i="17"/>
  <c r="B65" i="17"/>
  <c r="B66" i="17"/>
  <c r="H18" i="70"/>
  <c r="H4" i="70"/>
  <c r="G4" i="70"/>
  <c r="F4" i="70"/>
  <c r="E4" i="70"/>
  <c r="D4" i="70"/>
  <c r="C4" i="70"/>
  <c r="B4" i="70"/>
  <c r="M79" i="41"/>
  <c r="M80" i="41"/>
  <c r="M81" i="41"/>
  <c r="M82" i="41"/>
  <c r="M84" i="41"/>
  <c r="M85" i="41"/>
  <c r="M86" i="41"/>
  <c r="M87" i="41"/>
  <c r="M88" i="41"/>
  <c r="M89" i="41"/>
  <c r="M90" i="41"/>
  <c r="M78" i="41"/>
  <c r="J120" i="41"/>
  <c r="K120" i="41" s="1"/>
  <c r="D120" i="41"/>
  <c r="E120" i="41"/>
  <c r="F120" i="41"/>
  <c r="G120" i="41"/>
  <c r="D121" i="41"/>
  <c r="E121" i="41"/>
  <c r="F121" i="41"/>
  <c r="G121" i="41"/>
  <c r="D122" i="41"/>
  <c r="E122" i="41"/>
  <c r="F122" i="41"/>
  <c r="G122" i="41"/>
  <c r="D89" i="41"/>
  <c r="E89" i="41"/>
  <c r="F89" i="41"/>
  <c r="G89" i="41"/>
  <c r="U7" i="3"/>
  <c r="H18" i="12"/>
  <c r="D90" i="41"/>
  <c r="E90" i="41"/>
  <c r="F90" i="41"/>
  <c r="G90" i="41"/>
  <c r="D88" i="41"/>
  <c r="E88" i="41"/>
  <c r="F88" i="41"/>
  <c r="G88" i="41"/>
  <c r="D82" i="41"/>
  <c r="E82" i="41"/>
  <c r="F82" i="41"/>
  <c r="G82" i="41"/>
  <c r="Z5" i="3"/>
  <c r="Z6" i="3"/>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G65" i="3"/>
  <c r="G64" i="3"/>
  <c r="G63" i="3"/>
  <c r="G62" i="3"/>
  <c r="G61" i="3"/>
  <c r="G60" i="3"/>
  <c r="G59" i="3"/>
  <c r="G58" i="3"/>
  <c r="G57" i="3"/>
  <c r="G56" i="3"/>
  <c r="G55" i="3"/>
  <c r="G37" i="3"/>
  <c r="W37" i="3" l="1"/>
  <c r="I39" i="17" s="1"/>
  <c r="D63" i="17"/>
  <c r="D65" i="17"/>
  <c r="D66" i="17"/>
  <c r="D67" i="17"/>
  <c r="D61" i="17"/>
  <c r="D62" i="17"/>
  <c r="D64" i="17"/>
  <c r="W7" i="3"/>
  <c r="I9" i="17" s="1"/>
  <c r="M112" i="41"/>
  <c r="H20" i="70"/>
  <c r="J119" i="41"/>
  <c r="K119" i="41" s="1"/>
  <c r="D119" i="41"/>
  <c r="E119" i="41"/>
  <c r="F119" i="41"/>
  <c r="G119" i="41"/>
  <c r="J118" i="41"/>
  <c r="K118" i="41" s="1"/>
  <c r="D118" i="41"/>
  <c r="E118" i="41"/>
  <c r="F118" i="41"/>
  <c r="G118" i="41"/>
  <c r="Z4" i="3"/>
  <c r="K109" i="41" l="1"/>
  <c r="W5" i="3"/>
  <c r="I7" i="17" s="1"/>
  <c r="W4" i="3"/>
  <c r="S79" i="48"/>
  <c r="S89" i="48"/>
  <c r="R89" i="48"/>
  <c r="W81" i="3" l="1"/>
  <c r="K19" i="7" s="1"/>
  <c r="I6" i="17"/>
  <c r="I83" i="17" s="1"/>
  <c r="J112" i="41"/>
  <c r="K78" i="41"/>
  <c r="N20" i="8"/>
  <c r="N23" i="8" s="1"/>
  <c r="S90" i="48"/>
  <c r="T89" i="48"/>
  <c r="T59" i="3"/>
  <c r="T34" i="3"/>
  <c r="T31" i="3"/>
  <c r="G59" i="41"/>
  <c r="F59" i="41"/>
  <c r="E59" i="41"/>
  <c r="D59" i="41"/>
  <c r="H18" i="68"/>
  <c r="H20" i="68"/>
  <c r="G4" i="68"/>
  <c r="F4" i="68"/>
  <c r="E4" i="68"/>
  <c r="D4" i="68"/>
  <c r="C4" i="68"/>
  <c r="B4" i="68"/>
  <c r="S31" i="3"/>
  <c r="W83" i="3" l="1"/>
  <c r="N22" i="8"/>
  <c r="O5" i="8" s="1"/>
  <c r="K59" i="41"/>
  <c r="D74" i="41"/>
  <c r="E74" i="41"/>
  <c r="F74" i="41"/>
  <c r="G74" i="41"/>
  <c r="H18" i="42"/>
  <c r="E57" i="17"/>
  <c r="E58" i="17"/>
  <c r="E59" i="17"/>
  <c r="E60" i="17"/>
  <c r="B59" i="17"/>
  <c r="B60" i="17"/>
  <c r="B50" i="17"/>
  <c r="B51" i="17"/>
  <c r="B52" i="17"/>
  <c r="B53" i="17"/>
  <c r="B54" i="17"/>
  <c r="B55" i="17"/>
  <c r="B56" i="17"/>
  <c r="B57" i="17"/>
  <c r="B58" i="17"/>
  <c r="D43" i="41"/>
  <c r="E43" i="41"/>
  <c r="F43" i="41"/>
  <c r="G43" i="41"/>
  <c r="D79" i="41"/>
  <c r="E79" i="41"/>
  <c r="F79" i="41"/>
  <c r="G79" i="41"/>
  <c r="D80" i="41"/>
  <c r="E80" i="41"/>
  <c r="F80" i="41"/>
  <c r="G80" i="41"/>
  <c r="D81" i="41"/>
  <c r="E81" i="41"/>
  <c r="F81" i="41"/>
  <c r="G81" i="41"/>
  <c r="D84" i="41"/>
  <c r="E84" i="41"/>
  <c r="F84" i="41"/>
  <c r="G84" i="41"/>
  <c r="D85" i="41"/>
  <c r="E85" i="41"/>
  <c r="F85" i="41"/>
  <c r="G85" i="41"/>
  <c r="D86" i="41"/>
  <c r="E86" i="41"/>
  <c r="F86" i="41"/>
  <c r="G86" i="41"/>
  <c r="D87" i="41"/>
  <c r="E87" i="41"/>
  <c r="F87" i="41"/>
  <c r="G87" i="41"/>
  <c r="T56" i="3"/>
  <c r="T48" i="3"/>
  <c r="T44" i="3"/>
  <c r="K112" i="41" l="1"/>
  <c r="O10" i="8"/>
  <c r="N24" i="8"/>
  <c r="K74" i="41"/>
  <c r="K43" i="41"/>
  <c r="D59" i="17"/>
  <c r="D60" i="17"/>
  <c r="H18" i="67"/>
  <c r="H4" i="67"/>
  <c r="G4" i="67"/>
  <c r="F4" i="67"/>
  <c r="E4" i="67"/>
  <c r="D4" i="67"/>
  <c r="C4" i="67"/>
  <c r="B4" i="67"/>
  <c r="G48" i="3"/>
  <c r="H18" i="66"/>
  <c r="H4" i="66"/>
  <c r="G4" i="66"/>
  <c r="F4" i="66"/>
  <c r="E4" i="66"/>
  <c r="D4" i="66"/>
  <c r="C4" i="66"/>
  <c r="B4" i="66"/>
  <c r="H18" i="65"/>
  <c r="H4" i="65"/>
  <c r="G4" i="65"/>
  <c r="F4" i="65"/>
  <c r="E4" i="65"/>
  <c r="D4" i="65"/>
  <c r="C4" i="65"/>
  <c r="B4" i="65"/>
  <c r="S76" i="48"/>
  <c r="R76" i="48"/>
  <c r="I112" i="41" l="1"/>
  <c r="H20" i="67"/>
  <c r="H20" i="66"/>
  <c r="H20" i="65"/>
  <c r="S77" i="48"/>
  <c r="T76" i="48"/>
  <c r="D72" i="41"/>
  <c r="E72" i="41"/>
  <c r="F72" i="41"/>
  <c r="G72" i="41"/>
  <c r="T21" i="3"/>
  <c r="G78" i="41"/>
  <c r="F78" i="41"/>
  <c r="E78" i="41"/>
  <c r="D78" i="41"/>
  <c r="D55" i="41"/>
  <c r="E55" i="41"/>
  <c r="F55" i="41"/>
  <c r="G55" i="41"/>
  <c r="D57" i="17"/>
  <c r="T43" i="3" l="1"/>
  <c r="H18" i="64"/>
  <c r="H4" i="64"/>
  <c r="G4" i="64"/>
  <c r="F4" i="64"/>
  <c r="E4" i="64"/>
  <c r="D4" i="64"/>
  <c r="C4" i="64"/>
  <c r="B4" i="64"/>
  <c r="T36" i="3"/>
  <c r="H18" i="63"/>
  <c r="H4" i="63"/>
  <c r="G4" i="63"/>
  <c r="F4" i="63"/>
  <c r="E4" i="63"/>
  <c r="D4" i="63"/>
  <c r="C4" i="63"/>
  <c r="B4" i="63"/>
  <c r="T52" i="3"/>
  <c r="S21" i="3"/>
  <c r="H18" i="46"/>
  <c r="T49" i="3"/>
  <c r="H18" i="62"/>
  <c r="H4" i="62"/>
  <c r="G4" i="62"/>
  <c r="F4" i="62"/>
  <c r="E4" i="62"/>
  <c r="D4" i="62"/>
  <c r="C4" i="62"/>
  <c r="B4" i="62"/>
  <c r="X50" i="3"/>
  <c r="X81" i="3" s="1"/>
  <c r="G36" i="3"/>
  <c r="D58" i="41"/>
  <c r="E58" i="41"/>
  <c r="F58" i="41"/>
  <c r="G58" i="41"/>
  <c r="D54" i="41"/>
  <c r="E54" i="41"/>
  <c r="F54" i="41"/>
  <c r="G54" i="41"/>
  <c r="K54" i="41" l="1"/>
  <c r="K55" i="41"/>
  <c r="H20" i="64"/>
  <c r="H20" i="63"/>
  <c r="H20" i="62"/>
  <c r="K58" i="41"/>
  <c r="G31" i="3"/>
  <c r="E7" i="17" l="1"/>
  <c r="E8" i="17"/>
  <c r="E9" i="17"/>
  <c r="E10" i="17"/>
  <c r="E11" i="17"/>
  <c r="E12" i="17"/>
  <c r="E13" i="17"/>
  <c r="E14" i="17"/>
  <c r="E15" i="17"/>
  <c r="E16" i="17"/>
  <c r="E17" i="17"/>
  <c r="E18" i="17"/>
  <c r="E19" i="17"/>
  <c r="E20" i="17"/>
  <c r="E21" i="17"/>
  <c r="E22" i="17"/>
  <c r="E23" i="17"/>
  <c r="E25" i="17"/>
  <c r="E26" i="17"/>
  <c r="E27" i="17"/>
  <c r="E28" i="17"/>
  <c r="E29" i="17"/>
  <c r="E30" i="17"/>
  <c r="E31" i="17"/>
  <c r="E32" i="17"/>
  <c r="E33" i="17"/>
  <c r="E34" i="17"/>
  <c r="E35" i="17"/>
  <c r="E36" i="17"/>
  <c r="E37" i="17"/>
  <c r="E38" i="17"/>
  <c r="E40" i="17"/>
  <c r="E41" i="17"/>
  <c r="E42" i="17"/>
  <c r="E43" i="17"/>
  <c r="E44" i="17"/>
  <c r="E45" i="17"/>
  <c r="E46" i="17"/>
  <c r="E47" i="17"/>
  <c r="E48" i="17"/>
  <c r="E49" i="17"/>
  <c r="E50" i="17"/>
  <c r="E51" i="17"/>
  <c r="E52" i="17"/>
  <c r="E53" i="17"/>
  <c r="E54" i="17"/>
  <c r="E55" i="17"/>
  <c r="E56"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40" i="17"/>
  <c r="B41" i="17"/>
  <c r="B42" i="17"/>
  <c r="B43" i="17"/>
  <c r="B44" i="17"/>
  <c r="B45" i="17"/>
  <c r="B46" i="17"/>
  <c r="B47" i="17"/>
  <c r="B48" i="17"/>
  <c r="B49" i="17"/>
  <c r="B6" i="17"/>
  <c r="D57" i="41"/>
  <c r="E57" i="41"/>
  <c r="F57" i="41"/>
  <c r="G57" i="41"/>
  <c r="D48" i="41"/>
  <c r="E48" i="41"/>
  <c r="F48" i="41"/>
  <c r="G48" i="41"/>
  <c r="D56" i="17"/>
  <c r="G43" i="3"/>
  <c r="H18" i="61"/>
  <c r="H4" i="61"/>
  <c r="G4" i="61"/>
  <c r="F4" i="61"/>
  <c r="E4" i="61"/>
  <c r="D4" i="61"/>
  <c r="C4" i="61"/>
  <c r="B4" i="61"/>
  <c r="D38" i="41"/>
  <c r="E38" i="41"/>
  <c r="F38" i="41"/>
  <c r="G38" i="41"/>
  <c r="T20" i="3"/>
  <c r="S20" i="3"/>
  <c r="T18" i="3"/>
  <c r="S18" i="3"/>
  <c r="T17" i="3"/>
  <c r="S17" i="3"/>
  <c r="T8" i="3"/>
  <c r="T14" i="3"/>
  <c r="S14" i="3"/>
  <c r="S8" i="3"/>
  <c r="K70" i="41" l="1"/>
  <c r="D58" i="17"/>
  <c r="K69" i="41"/>
  <c r="K68" i="41"/>
  <c r="H20" i="61"/>
  <c r="K49" i="41"/>
  <c r="D68" i="41" l="1"/>
  <c r="E68" i="41"/>
  <c r="F68" i="41"/>
  <c r="G68" i="41"/>
  <c r="D69" i="41"/>
  <c r="E69" i="41"/>
  <c r="F69" i="41"/>
  <c r="G69" i="41"/>
  <c r="D70" i="41"/>
  <c r="E70" i="41"/>
  <c r="F70" i="41"/>
  <c r="G70" i="41"/>
  <c r="D71" i="41"/>
  <c r="E71" i="41"/>
  <c r="F71" i="41"/>
  <c r="G71" i="41"/>
  <c r="D73" i="41"/>
  <c r="E73" i="41"/>
  <c r="F73" i="41"/>
  <c r="G73" i="41"/>
  <c r="T32" i="3"/>
  <c r="T42" i="3"/>
  <c r="T54" i="3"/>
  <c r="T47" i="3"/>
  <c r="T46" i="3"/>
  <c r="T45" i="3"/>
  <c r="S67" i="48"/>
  <c r="S68" i="48" s="1"/>
  <c r="R67" i="48"/>
  <c r="H18" i="60"/>
  <c r="H4" i="60"/>
  <c r="H20" i="60" s="1"/>
  <c r="G4" i="60"/>
  <c r="F4" i="60"/>
  <c r="E4" i="60"/>
  <c r="D4" i="60"/>
  <c r="C4" i="60"/>
  <c r="B4" i="60"/>
  <c r="I4" i="60" s="1"/>
  <c r="H18" i="59"/>
  <c r="H4" i="59"/>
  <c r="G4" i="59"/>
  <c r="F4" i="59"/>
  <c r="E4" i="59"/>
  <c r="D4" i="59"/>
  <c r="C4" i="59"/>
  <c r="B4" i="59"/>
  <c r="K16" i="34"/>
  <c r="J16" i="34"/>
  <c r="R57" i="48"/>
  <c r="S52" i="48"/>
  <c r="S57" i="48" s="1"/>
  <c r="T35" i="3"/>
  <c r="S35" i="3"/>
  <c r="H18" i="45"/>
  <c r="T27" i="3"/>
  <c r="S27" i="3"/>
  <c r="D66" i="41"/>
  <c r="E66" i="41"/>
  <c r="F66" i="41"/>
  <c r="G66" i="41"/>
  <c r="D67" i="41"/>
  <c r="E67" i="41"/>
  <c r="F67" i="41"/>
  <c r="G67" i="41"/>
  <c r="D65" i="41"/>
  <c r="E65" i="41"/>
  <c r="F65" i="41"/>
  <c r="G65" i="41"/>
  <c r="D61" i="41"/>
  <c r="E61" i="41"/>
  <c r="F61" i="41"/>
  <c r="G61" i="41"/>
  <c r="D62" i="41"/>
  <c r="E62" i="41"/>
  <c r="F62" i="41"/>
  <c r="G62" i="41"/>
  <c r="D63" i="41"/>
  <c r="E63" i="41"/>
  <c r="F63" i="41"/>
  <c r="G63" i="41"/>
  <c r="D64" i="41"/>
  <c r="E64" i="41"/>
  <c r="F64" i="41"/>
  <c r="G64" i="41"/>
  <c r="T16" i="3"/>
  <c r="S16" i="3"/>
  <c r="H18" i="14"/>
  <c r="G49" i="3"/>
  <c r="D50" i="17" s="1"/>
  <c r="G50" i="3"/>
  <c r="G51" i="3"/>
  <c r="G52" i="3"/>
  <c r="G53" i="3"/>
  <c r="H18" i="58"/>
  <c r="H4" i="58"/>
  <c r="G4" i="58"/>
  <c r="F4" i="58"/>
  <c r="E4" i="58"/>
  <c r="D4" i="58"/>
  <c r="C4" i="58"/>
  <c r="B4" i="58"/>
  <c r="D56" i="41"/>
  <c r="E56" i="41"/>
  <c r="F56" i="41"/>
  <c r="G56" i="41"/>
  <c r="K73" i="41" l="1"/>
  <c r="K48" i="41"/>
  <c r="K51" i="41"/>
  <c r="K57" i="41"/>
  <c r="D51" i="17"/>
  <c r="D54" i="17"/>
  <c r="D55" i="17"/>
  <c r="D53" i="17"/>
  <c r="D52" i="17"/>
  <c r="J75" i="41"/>
  <c r="K66" i="41"/>
  <c r="K71" i="41"/>
  <c r="S58" i="48"/>
  <c r="K42" i="41"/>
  <c r="K53" i="41"/>
  <c r="K56" i="41"/>
  <c r="K50" i="41"/>
  <c r="K67" i="41"/>
  <c r="K52" i="41"/>
  <c r="T57" i="48"/>
  <c r="T67" i="48"/>
  <c r="H20" i="59"/>
  <c r="H20" i="58"/>
  <c r="D51" i="41"/>
  <c r="E51" i="41"/>
  <c r="F51" i="41"/>
  <c r="G51" i="41"/>
  <c r="D52" i="41"/>
  <c r="E52" i="41"/>
  <c r="F52" i="41"/>
  <c r="G52" i="41"/>
  <c r="D53" i="41"/>
  <c r="E53" i="41"/>
  <c r="F53" i="41"/>
  <c r="G53" i="41"/>
  <c r="H18" i="57"/>
  <c r="H4" i="57"/>
  <c r="H20" i="57" s="1"/>
  <c r="G4" i="57"/>
  <c r="F4" i="57"/>
  <c r="E4" i="57"/>
  <c r="D4" i="57"/>
  <c r="C4" i="57"/>
  <c r="B4" i="57"/>
  <c r="H18" i="56"/>
  <c r="H4" i="56"/>
  <c r="G4" i="56"/>
  <c r="F4" i="56"/>
  <c r="E4" i="56"/>
  <c r="D4" i="56"/>
  <c r="C4" i="56"/>
  <c r="B4" i="56"/>
  <c r="H18" i="55"/>
  <c r="H4" i="55"/>
  <c r="G4" i="55"/>
  <c r="F4" i="55"/>
  <c r="E4" i="55"/>
  <c r="D4" i="55"/>
  <c r="C4" i="55"/>
  <c r="B4" i="55"/>
  <c r="S37" i="48"/>
  <c r="R37" i="48"/>
  <c r="S30" i="48"/>
  <c r="R30" i="48"/>
  <c r="S47" i="48"/>
  <c r="R47" i="48"/>
  <c r="S48" i="48" l="1"/>
  <c r="S31" i="48"/>
  <c r="S38" i="48"/>
  <c r="T47" i="48"/>
  <c r="H20" i="56"/>
  <c r="H20" i="55"/>
  <c r="T5" i="3"/>
  <c r="T24" i="3"/>
  <c r="T6" i="3"/>
  <c r="H18" i="10"/>
  <c r="B4" i="52"/>
  <c r="I4" i="52" s="1"/>
  <c r="H15" i="29"/>
  <c r="G45" i="3"/>
  <c r="G46" i="3"/>
  <c r="D48" i="17" s="1"/>
  <c r="G47" i="3"/>
  <c r="D49" i="17" s="1"/>
  <c r="G44" i="3"/>
  <c r="D46" i="17" s="1"/>
  <c r="G42" i="3"/>
  <c r="D44" i="17" s="1"/>
  <c r="G41" i="3"/>
  <c r="D43" i="17" s="1"/>
  <c r="S24" i="3"/>
  <c r="D47" i="17" l="1"/>
  <c r="D45" i="17"/>
  <c r="K39" i="41"/>
  <c r="J117" i="41"/>
  <c r="K117" i="41" s="1"/>
  <c r="D117" i="41"/>
  <c r="E117" i="41"/>
  <c r="F117" i="41"/>
  <c r="G117" i="41"/>
  <c r="H4" i="33"/>
  <c r="T30" i="3"/>
  <c r="S30" i="3"/>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D49" i="41"/>
  <c r="E49" i="41"/>
  <c r="F49" i="41"/>
  <c r="G49" i="41"/>
  <c r="D50" i="41"/>
  <c r="E50" i="41"/>
  <c r="F50" i="41"/>
  <c r="G50" i="41"/>
  <c r="D116" i="41"/>
  <c r="E116" i="41"/>
  <c r="F116" i="41"/>
  <c r="G116" i="41"/>
  <c r="J116" i="41"/>
  <c r="K116" i="41" s="1"/>
  <c r="H17" i="20"/>
  <c r="T33" i="3"/>
  <c r="S33" i="3"/>
  <c r="S28" i="3"/>
  <c r="S25" i="3"/>
  <c r="T23" i="3"/>
  <c r="S23" i="3"/>
  <c r="T13" i="3"/>
  <c r="S13" i="3"/>
  <c r="T12" i="3"/>
  <c r="S12" i="3"/>
  <c r="S11" i="3"/>
  <c r="S10" i="3"/>
  <c r="S9" i="3"/>
  <c r="S7" i="3"/>
  <c r="S6" i="3"/>
  <c r="S5" i="3"/>
  <c r="S4" i="3"/>
  <c r="H18" i="40"/>
  <c r="H18" i="38"/>
  <c r="H18" i="13"/>
  <c r="H18" i="24"/>
  <c r="K35" i="41" l="1"/>
  <c r="K61" i="41"/>
  <c r="K64" i="41"/>
  <c r="K72" i="41"/>
  <c r="K41" i="41"/>
  <c r="K38" i="41"/>
  <c r="K63" i="41"/>
  <c r="K65" i="41"/>
  <c r="K62" i="41"/>
  <c r="H18" i="53"/>
  <c r="H4" i="53"/>
  <c r="G4" i="53"/>
  <c r="F4" i="53"/>
  <c r="E4" i="53"/>
  <c r="D4" i="53"/>
  <c r="C4" i="53"/>
  <c r="B4" i="53"/>
  <c r="D39" i="41"/>
  <c r="E39" i="41"/>
  <c r="F39" i="41"/>
  <c r="G39" i="41"/>
  <c r="X11" i="3"/>
  <c r="I145" i="41"/>
  <c r="G115" i="41"/>
  <c r="F115" i="41"/>
  <c r="E115" i="41"/>
  <c r="D115" i="41"/>
  <c r="J115" i="41" l="1"/>
  <c r="H20" i="53"/>
  <c r="J145" i="41" l="1"/>
  <c r="K115" i="41"/>
  <c r="K145" i="41" s="1"/>
  <c r="L145" i="41" s="1"/>
  <c r="D41" i="41" l="1"/>
  <c r="E41" i="41"/>
  <c r="F41" i="41"/>
  <c r="G41" i="41"/>
  <c r="D37" i="41"/>
  <c r="E37" i="41"/>
  <c r="F37" i="41"/>
  <c r="G37" i="41"/>
  <c r="D44" i="41"/>
  <c r="E44" i="41"/>
  <c r="F44" i="41"/>
  <c r="G44" i="41"/>
  <c r="D45" i="41"/>
  <c r="E45" i="41"/>
  <c r="F45" i="41"/>
  <c r="G45" i="41"/>
  <c r="D46" i="41"/>
  <c r="E46" i="41"/>
  <c r="F46" i="41"/>
  <c r="G46" i="41"/>
  <c r="D40" i="41"/>
  <c r="E40" i="41"/>
  <c r="F40" i="41"/>
  <c r="G40" i="41"/>
  <c r="D42" i="41"/>
  <c r="E42" i="41"/>
  <c r="F42" i="41"/>
  <c r="G42" i="41"/>
  <c r="D47" i="41"/>
  <c r="E47" i="41"/>
  <c r="F47" i="41"/>
  <c r="G47" i="41"/>
  <c r="D35" i="41"/>
  <c r="E35" i="41"/>
  <c r="F35" i="41"/>
  <c r="G35" i="41"/>
  <c r="D36" i="41"/>
  <c r="T25" i="3"/>
  <c r="K40" i="41" l="1"/>
  <c r="T9" i="3"/>
  <c r="T39" i="3"/>
  <c r="T38" i="3"/>
  <c r="T40" i="3"/>
  <c r="H18" i="52"/>
  <c r="H4" i="52"/>
  <c r="H20" i="52" s="1"/>
  <c r="G4" i="52"/>
  <c r="F4" i="52"/>
  <c r="E4" i="52"/>
  <c r="D4" i="52"/>
  <c r="C4" i="52"/>
  <c r="H18" i="51"/>
  <c r="H4" i="51"/>
  <c r="H20" i="51" s="1"/>
  <c r="G4" i="51"/>
  <c r="F4" i="51"/>
  <c r="E4" i="51"/>
  <c r="D4" i="51"/>
  <c r="C4" i="51"/>
  <c r="B4" i="51"/>
  <c r="I4" i="51" s="1"/>
  <c r="K6" i="7"/>
  <c r="M6" i="8" s="1"/>
  <c r="K7" i="7"/>
  <c r="M7" i="8" s="1"/>
  <c r="K8" i="7"/>
  <c r="M8" i="8" s="1"/>
  <c r="K9" i="7"/>
  <c r="M9" i="8" s="1"/>
  <c r="K10" i="7"/>
  <c r="M10" i="8" s="1"/>
  <c r="K11" i="7"/>
  <c r="M11" i="8" s="1"/>
  <c r="K12" i="7"/>
  <c r="M12" i="8" s="1"/>
  <c r="K13" i="7"/>
  <c r="M13" i="8" s="1"/>
  <c r="M5" i="8"/>
  <c r="M14" i="8" l="1"/>
  <c r="K47" i="41"/>
  <c r="K46" i="41"/>
  <c r="K45" i="41"/>
  <c r="K44" i="41"/>
  <c r="J15" i="7"/>
  <c r="G5" i="7"/>
  <c r="C6" i="18" s="1"/>
  <c r="G6" i="7"/>
  <c r="C8" i="18"/>
  <c r="G8" i="7"/>
  <c r="C9" i="18" s="1"/>
  <c r="G9" i="7"/>
  <c r="C10" i="18" s="1"/>
  <c r="G10" i="7"/>
  <c r="C11" i="18" s="1"/>
  <c r="G11" i="7"/>
  <c r="C12" i="18" s="1"/>
  <c r="G12" i="7"/>
  <c r="C13" i="18" s="1"/>
  <c r="G13" i="7"/>
  <c r="C14" i="18" s="1"/>
  <c r="F15" i="7"/>
  <c r="H18" i="50"/>
  <c r="H4" i="50"/>
  <c r="H20" i="50" s="1"/>
  <c r="G4" i="50"/>
  <c r="F4" i="50"/>
  <c r="E4" i="50"/>
  <c r="D4" i="50"/>
  <c r="C4" i="50"/>
  <c r="B4" i="50"/>
  <c r="I4" i="50" s="1"/>
  <c r="G38" i="3"/>
  <c r="G39" i="3"/>
  <c r="G40" i="3"/>
  <c r="D42" i="17" s="1"/>
  <c r="T10" i="3"/>
  <c r="D40" i="17" l="1"/>
  <c r="D38" i="17"/>
  <c r="D41" i="17"/>
  <c r="D39" i="17"/>
  <c r="G15" i="7"/>
  <c r="G18" i="7" s="1"/>
  <c r="C7" i="18"/>
  <c r="K37" i="41"/>
  <c r="H83" i="17"/>
  <c r="G19" i="7"/>
  <c r="K36" i="41"/>
  <c r="K15" i="7"/>
  <c r="H35" i="41" l="1"/>
  <c r="C4" i="48"/>
  <c r="C5" i="48" s="1"/>
  <c r="K18" i="7"/>
  <c r="C4" i="69"/>
  <c r="C5" i="69" s="1"/>
  <c r="T83" i="3"/>
  <c r="K75" i="41"/>
  <c r="I75" i="41"/>
  <c r="H18" i="44"/>
  <c r="H13" i="44"/>
  <c r="K20" i="7" l="1"/>
  <c r="H78" i="41"/>
  <c r="E36" i="41"/>
  <c r="F36" i="41"/>
  <c r="G31" i="41"/>
  <c r="G30" i="41"/>
  <c r="G29" i="41"/>
  <c r="G28" i="41"/>
  <c r="G27" i="41"/>
  <c r="G26" i="41"/>
  <c r="G25" i="41"/>
  <c r="G24" i="41"/>
  <c r="G23" i="41"/>
  <c r="G22" i="41"/>
  <c r="G21" i="41"/>
  <c r="G20" i="41"/>
  <c r="G19" i="41"/>
  <c r="G18" i="41"/>
  <c r="G17" i="41"/>
  <c r="G16" i="41"/>
  <c r="G15" i="41"/>
  <c r="G14" i="41"/>
  <c r="G13" i="41"/>
  <c r="G12" i="41"/>
  <c r="G11" i="41"/>
  <c r="G10" i="41"/>
  <c r="G9" i="41"/>
  <c r="G8" i="41"/>
  <c r="G7" i="41"/>
  <c r="G6" i="41"/>
  <c r="G5" i="41"/>
  <c r="G4" i="41"/>
  <c r="G3" i="41"/>
  <c r="G36" i="41"/>
  <c r="F3" i="41" l="1"/>
  <c r="E4" i="4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 i="41"/>
  <c r="D4" i="41"/>
  <c r="D5" i="41"/>
  <c r="D6" i="41"/>
  <c r="D7" i="41"/>
  <c r="D8" i="41"/>
  <c r="D9" i="41"/>
  <c r="D10" i="41"/>
  <c r="D11" i="41"/>
  <c r="D12" i="41"/>
  <c r="D13" i="41"/>
  <c r="D14" i="41"/>
  <c r="D15" i="41"/>
  <c r="D16" i="41"/>
  <c r="D17" i="41"/>
  <c r="D18" i="41"/>
  <c r="D19" i="41"/>
  <c r="D20" i="41"/>
  <c r="D21" i="41"/>
  <c r="D22" i="41"/>
  <c r="D23" i="41"/>
  <c r="D24" i="41"/>
  <c r="D25" i="41"/>
  <c r="D26" i="41"/>
  <c r="D27" i="41"/>
  <c r="D28" i="41"/>
  <c r="D29" i="41"/>
  <c r="D30" i="41"/>
  <c r="D31" i="41"/>
  <c r="D3" i="41"/>
  <c r="H11" i="44"/>
  <c r="L13" i="34"/>
  <c r="H18" i="34"/>
  <c r="H16" i="34"/>
  <c r="H14" i="34"/>
  <c r="H13" i="34"/>
  <c r="K9" i="41" l="1"/>
  <c r="H4" i="46"/>
  <c r="G4" i="46"/>
  <c r="F4" i="46"/>
  <c r="E4" i="46"/>
  <c r="D4" i="46"/>
  <c r="C4" i="46"/>
  <c r="B4" i="46"/>
  <c r="I4" i="46" s="1"/>
  <c r="H20" i="46" s="1"/>
  <c r="H4" i="45"/>
  <c r="G4" i="45"/>
  <c r="F4" i="45"/>
  <c r="E4" i="45"/>
  <c r="D4" i="45"/>
  <c r="C4" i="45"/>
  <c r="B4" i="45"/>
  <c r="I4" i="45" s="1"/>
  <c r="H20" i="45" s="1"/>
  <c r="H4" i="44"/>
  <c r="H20" i="44" s="1"/>
  <c r="G4" i="44"/>
  <c r="F4" i="44"/>
  <c r="E4" i="44"/>
  <c r="D4" i="44"/>
  <c r="C4" i="44"/>
  <c r="B4" i="44"/>
  <c r="I4" i="44" s="1"/>
  <c r="G35" i="3"/>
  <c r="D37" i="17" s="1"/>
  <c r="H4" i="42"/>
  <c r="G4" i="42"/>
  <c r="F4" i="42"/>
  <c r="E4" i="42"/>
  <c r="D4" i="42"/>
  <c r="C4" i="42"/>
  <c r="B4" i="42"/>
  <c r="I4" i="42" s="1"/>
  <c r="H20" i="42" s="1"/>
  <c r="K29" i="41" l="1"/>
  <c r="K19" i="41"/>
  <c r="K31" i="41"/>
  <c r="K26" i="41"/>
  <c r="G15" i="3"/>
  <c r="H11" i="29"/>
  <c r="H18" i="39"/>
  <c r="H18" i="33"/>
  <c r="H18" i="37"/>
  <c r="H18" i="26"/>
  <c r="H18" i="30"/>
  <c r="H18" i="27"/>
  <c r="H18" i="22"/>
  <c r="H18" i="19"/>
  <c r="H18" i="31"/>
  <c r="H18" i="16"/>
  <c r="H18" i="21"/>
  <c r="H18" i="36"/>
  <c r="H18" i="32"/>
  <c r="H18" i="35"/>
  <c r="H18" i="15"/>
  <c r="G29" i="3"/>
  <c r="D31" i="17" s="1"/>
  <c r="G30" i="3"/>
  <c r="G32" i="3"/>
  <c r="D34" i="17" s="1"/>
  <c r="G33" i="3"/>
  <c r="D35" i="17" s="1"/>
  <c r="G34" i="3"/>
  <c r="D36" i="17" s="1"/>
  <c r="H4" i="40"/>
  <c r="G4" i="40"/>
  <c r="F4" i="40"/>
  <c r="E4" i="40"/>
  <c r="D4" i="40"/>
  <c r="C4" i="40"/>
  <c r="B4" i="40"/>
  <c r="I4" i="40" s="1"/>
  <c r="H20" i="40" s="1"/>
  <c r="H4" i="39"/>
  <c r="H20" i="39" s="1"/>
  <c r="G4" i="39"/>
  <c r="F4" i="39"/>
  <c r="E4" i="39"/>
  <c r="D4" i="39"/>
  <c r="C4" i="39"/>
  <c r="B4" i="39"/>
  <c r="D33" i="17" l="1"/>
  <c r="D32" i="17"/>
  <c r="C19" i="7"/>
  <c r="K27" i="41"/>
  <c r="K18" i="41"/>
  <c r="K16" i="41"/>
  <c r="K15" i="41"/>
  <c r="K25" i="41"/>
  <c r="K14" i="41"/>
  <c r="K22" i="41"/>
  <c r="K28" i="41"/>
  <c r="K12" i="41"/>
  <c r="K21" i="41"/>
  <c r="K5" i="41"/>
  <c r="K6" i="41"/>
  <c r="K4" i="41"/>
  <c r="K23" i="41"/>
  <c r="K17" i="41"/>
  <c r="K30" i="41"/>
  <c r="K10" i="41"/>
  <c r="K24" i="41"/>
  <c r="K13" i="41"/>
  <c r="K11" i="41"/>
  <c r="K20" i="41"/>
  <c r="G83" i="17" l="1"/>
  <c r="S83" i="3" s="1"/>
  <c r="K7" i="41"/>
  <c r="G27" i="3"/>
  <c r="D29" i="17" s="1"/>
  <c r="G28" i="3"/>
  <c r="D30" i="17" s="1"/>
  <c r="H4" i="38"/>
  <c r="G4" i="38"/>
  <c r="F4" i="38"/>
  <c r="E4" i="38"/>
  <c r="D4" i="38"/>
  <c r="C4" i="38"/>
  <c r="B4" i="38"/>
  <c r="I4" i="38" s="1"/>
  <c r="H20" i="38" s="1"/>
  <c r="G5" i="3"/>
  <c r="G6" i="3"/>
  <c r="D8" i="17" s="1"/>
  <c r="G7" i="3"/>
  <c r="D9" i="17" s="1"/>
  <c r="G8" i="3"/>
  <c r="D10" i="17" s="1"/>
  <c r="G9" i="3"/>
  <c r="G10" i="3"/>
  <c r="G11" i="3"/>
  <c r="G12" i="3"/>
  <c r="D14" i="17" s="1"/>
  <c r="G13" i="3"/>
  <c r="D15" i="17" s="1"/>
  <c r="G14" i="3"/>
  <c r="G16" i="3"/>
  <c r="D18" i="17" s="1"/>
  <c r="G17" i="3"/>
  <c r="G18" i="3"/>
  <c r="G19" i="3"/>
  <c r="D21" i="17" s="1"/>
  <c r="G20" i="3"/>
  <c r="G21" i="3"/>
  <c r="G22" i="3"/>
  <c r="G23" i="3"/>
  <c r="D25" i="17" s="1"/>
  <c r="G24" i="3"/>
  <c r="D26" i="17" s="1"/>
  <c r="G25" i="3"/>
  <c r="D27" i="17" s="1"/>
  <c r="G26" i="3"/>
  <c r="D28" i="17" s="1"/>
  <c r="D16" i="17" l="1"/>
  <c r="D7" i="17"/>
  <c r="D22" i="17"/>
  <c r="D13" i="17"/>
  <c r="D12" i="17"/>
  <c r="D20" i="17"/>
  <c r="D11" i="17"/>
  <c r="D24" i="17"/>
  <c r="D23" i="17"/>
  <c r="D19" i="17"/>
  <c r="D17" i="17"/>
  <c r="H4" i="37"/>
  <c r="H20" i="37" s="1"/>
  <c r="G4" i="37"/>
  <c r="F4" i="37"/>
  <c r="E4" i="37"/>
  <c r="D4" i="37"/>
  <c r="C4" i="37"/>
  <c r="B4" i="37"/>
  <c r="C6" i="8"/>
  <c r="C7" i="8"/>
  <c r="C8" i="8"/>
  <c r="C9" i="8"/>
  <c r="C10" i="8"/>
  <c r="C11" i="8"/>
  <c r="C12" i="8"/>
  <c r="C13" i="8"/>
  <c r="C5" i="8"/>
  <c r="H4" i="34"/>
  <c r="G4" i="34"/>
  <c r="F4" i="34"/>
  <c r="E4" i="34"/>
  <c r="D4" i="34"/>
  <c r="C4" i="34"/>
  <c r="B4" i="34"/>
  <c r="I4" i="34" s="1"/>
  <c r="H10" i="34"/>
  <c r="H4" i="36"/>
  <c r="G4" i="36"/>
  <c r="F4" i="36"/>
  <c r="E4" i="36"/>
  <c r="D4" i="36"/>
  <c r="C4" i="36"/>
  <c r="B4" i="36"/>
  <c r="I4" i="36" s="1"/>
  <c r="H20" i="36" s="1"/>
  <c r="H4" i="35"/>
  <c r="H20" i="35" s="1"/>
  <c r="G4" i="35"/>
  <c r="F4" i="35"/>
  <c r="E4" i="35"/>
  <c r="D4" i="35"/>
  <c r="C4" i="35"/>
  <c r="B4" i="35"/>
  <c r="H9" i="34"/>
  <c r="H20" i="33"/>
  <c r="G4" i="33"/>
  <c r="F4" i="33"/>
  <c r="E4" i="33"/>
  <c r="D4" i="33"/>
  <c r="C4" i="33"/>
  <c r="B4" i="33"/>
  <c r="H4" i="32"/>
  <c r="G4" i="32"/>
  <c r="F4" i="32"/>
  <c r="E4" i="32"/>
  <c r="D4" i="32"/>
  <c r="C4" i="32"/>
  <c r="B4" i="32"/>
  <c r="I4" i="32" s="1"/>
  <c r="H20" i="32" s="1"/>
  <c r="K13" i="20"/>
  <c r="H14" i="20" s="1"/>
  <c r="J13" i="20"/>
  <c r="H13" i="20" s="1"/>
  <c r="H4" i="31"/>
  <c r="G4" i="31"/>
  <c r="F4" i="31"/>
  <c r="E4" i="31"/>
  <c r="D4" i="31"/>
  <c r="C4" i="31"/>
  <c r="B4" i="31"/>
  <c r="I4" i="31" s="1"/>
  <c r="H20" i="31" s="1"/>
  <c r="H4" i="30"/>
  <c r="H20" i="30" s="1"/>
  <c r="G4" i="30"/>
  <c r="F4" i="30"/>
  <c r="E4" i="30"/>
  <c r="D4" i="30"/>
  <c r="C4" i="30"/>
  <c r="B4" i="30"/>
  <c r="I4" i="30" s="1"/>
  <c r="H20" i="34" l="1"/>
  <c r="H4" i="10"/>
  <c r="H4" i="12"/>
  <c r="H4" i="15"/>
  <c r="H4" i="13"/>
  <c r="H4" i="14"/>
  <c r="H4" i="16"/>
  <c r="H20" i="16" s="1"/>
  <c r="H4" i="19"/>
  <c r="H20" i="19" s="1"/>
  <c r="H4" i="20"/>
  <c r="H22" i="20" s="1"/>
  <c r="H4" i="21"/>
  <c r="H4" i="22"/>
  <c r="H20" i="22" s="1"/>
  <c r="H4" i="24"/>
  <c r="H4" i="26"/>
  <c r="H4" i="27"/>
  <c r="H20" i="27" s="1"/>
  <c r="H4" i="29"/>
  <c r="H20" i="29" s="1"/>
  <c r="G4" i="29" l="1"/>
  <c r="F4" i="29"/>
  <c r="E4" i="29"/>
  <c r="D4" i="29"/>
  <c r="C4" i="29"/>
  <c r="B4" i="29"/>
  <c r="G4" i="27"/>
  <c r="F4" i="27"/>
  <c r="E4" i="27"/>
  <c r="D4" i="27"/>
  <c r="C4" i="27"/>
  <c r="B4" i="27"/>
  <c r="G4" i="26"/>
  <c r="F4" i="26"/>
  <c r="E4" i="26"/>
  <c r="D4" i="26"/>
  <c r="C4" i="26"/>
  <c r="B4" i="26"/>
  <c r="I4" i="26" s="1"/>
  <c r="H20" i="26" s="1"/>
  <c r="B15" i="7"/>
  <c r="G4" i="24"/>
  <c r="F4" i="24"/>
  <c r="E4" i="24"/>
  <c r="D4" i="24"/>
  <c r="C4" i="24"/>
  <c r="B4" i="24"/>
  <c r="I4" i="24" s="1"/>
  <c r="H20" i="24" s="1"/>
  <c r="G4" i="22"/>
  <c r="F4" i="22"/>
  <c r="E4" i="22"/>
  <c r="D4" i="22"/>
  <c r="C4" i="22"/>
  <c r="B4" i="22"/>
  <c r="G4" i="21"/>
  <c r="F4" i="21"/>
  <c r="E4" i="21"/>
  <c r="D4" i="21"/>
  <c r="C4" i="21"/>
  <c r="B4" i="21"/>
  <c r="I4" i="21" s="1"/>
  <c r="H20" i="21" s="1"/>
  <c r="G4" i="20"/>
  <c r="F4" i="20"/>
  <c r="E4" i="20"/>
  <c r="D4" i="20"/>
  <c r="C4" i="20"/>
  <c r="B4" i="20"/>
  <c r="G4" i="19"/>
  <c r="F4" i="19"/>
  <c r="D4" i="19"/>
  <c r="C4" i="19"/>
  <c r="B4" i="19"/>
  <c r="G4" i="16"/>
  <c r="F4" i="16"/>
  <c r="D4" i="16"/>
  <c r="C4" i="16"/>
  <c r="B4" i="16"/>
  <c r="G4" i="14"/>
  <c r="F4" i="14"/>
  <c r="E4" i="14"/>
  <c r="D4" i="14"/>
  <c r="C4" i="14"/>
  <c r="B4" i="14"/>
  <c r="I4" i="14" s="1"/>
  <c r="H20" i="14" s="1"/>
  <c r="G4" i="13"/>
  <c r="F4" i="13"/>
  <c r="E4" i="13"/>
  <c r="D4" i="13"/>
  <c r="C4" i="13"/>
  <c r="B4" i="13"/>
  <c r="I4" i="13" s="1"/>
  <c r="H20" i="13" s="1"/>
  <c r="G4" i="15"/>
  <c r="F4" i="15"/>
  <c r="E4" i="15"/>
  <c r="D4" i="15"/>
  <c r="C4" i="15"/>
  <c r="B4" i="15"/>
  <c r="I4" i="15" s="1"/>
  <c r="H20" i="15" s="1"/>
  <c r="G4" i="12"/>
  <c r="F4" i="12"/>
  <c r="E4" i="12"/>
  <c r="D4" i="12"/>
  <c r="C4" i="12"/>
  <c r="B4" i="12"/>
  <c r="I4" i="12" s="1"/>
  <c r="G4" i="10"/>
  <c r="F4" i="10"/>
  <c r="E4" i="10"/>
  <c r="D4" i="10"/>
  <c r="C4" i="10"/>
  <c r="B4" i="10"/>
  <c r="I4" i="10" s="1"/>
  <c r="H20" i="10" s="1"/>
  <c r="E6" i="17"/>
  <c r="G4" i="3"/>
  <c r="H9" i="20"/>
  <c r="K11" i="20"/>
  <c r="K10" i="20"/>
  <c r="J11" i="20"/>
  <c r="H11" i="20" s="1"/>
  <c r="J10" i="20"/>
  <c r="H10" i="20" s="1"/>
  <c r="C14" i="69" l="1"/>
  <c r="F4" i="69"/>
  <c r="C24" i="69" s="1"/>
  <c r="C13" i="69"/>
  <c r="C12" i="69"/>
  <c r="C11" i="69"/>
  <c r="C10" i="69"/>
  <c r="C18" i="48"/>
  <c r="C9" i="69"/>
  <c r="N11" i="8"/>
  <c r="P11" i="8" s="1"/>
  <c r="I7" i="8"/>
  <c r="N12" i="8"/>
  <c r="P12" i="8" s="1"/>
  <c r="I8" i="8"/>
  <c r="K8" i="8" s="1"/>
  <c r="E9" i="18" s="1"/>
  <c r="N13" i="8"/>
  <c r="P13" i="8" s="1"/>
  <c r="I9" i="8"/>
  <c r="K9" i="8" s="1"/>
  <c r="E10" i="18" s="1"/>
  <c r="N8" i="8"/>
  <c r="P8" i="8" s="1"/>
  <c r="N9" i="8"/>
  <c r="P9" i="8" s="1"/>
  <c r="N5" i="8"/>
  <c r="P5" i="8" s="1"/>
  <c r="F6" i="18" s="1"/>
  <c r="I10" i="8"/>
  <c r="I13" i="8"/>
  <c r="K13" i="8" s="1"/>
  <c r="E14" i="18" s="1"/>
  <c r="N6" i="8"/>
  <c r="P6" i="8" s="1"/>
  <c r="I5" i="8"/>
  <c r="I11" i="8"/>
  <c r="K11" i="8" s="1"/>
  <c r="E12" i="18" s="1"/>
  <c r="I6" i="8"/>
  <c r="K6" i="8" s="1"/>
  <c r="N7" i="8"/>
  <c r="P7" i="8" s="1"/>
  <c r="I12" i="8"/>
  <c r="K12" i="8" s="1"/>
  <c r="E13" i="18" s="1"/>
  <c r="D5" i="8"/>
  <c r="N10" i="8"/>
  <c r="C24" i="48"/>
  <c r="C17" i="48"/>
  <c r="C16" i="48"/>
  <c r="C15" i="48"/>
  <c r="C14" i="48"/>
  <c r="C13" i="48"/>
  <c r="C12" i="48"/>
  <c r="C11" i="48"/>
  <c r="C10" i="48"/>
  <c r="K8" i="41"/>
  <c r="H12" i="20"/>
  <c r="C9" i="48"/>
  <c r="D11" i="8"/>
  <c r="D9" i="8"/>
  <c r="D6" i="8"/>
  <c r="D7" i="8"/>
  <c r="D8" i="8"/>
  <c r="D10" i="8"/>
  <c r="D12" i="8"/>
  <c r="C20" i="11"/>
  <c r="C19" i="11"/>
  <c r="C18" i="11"/>
  <c r="C10" i="11"/>
  <c r="C17" i="11"/>
  <c r="C9" i="11"/>
  <c r="C16" i="11"/>
  <c r="C15" i="11"/>
  <c r="C14" i="11"/>
  <c r="C13" i="11"/>
  <c r="C12" i="11"/>
  <c r="C11" i="11"/>
  <c r="H12" i="8"/>
  <c r="D6" i="17"/>
  <c r="B14" i="18"/>
  <c r="B13" i="18"/>
  <c r="B12" i="18"/>
  <c r="B11" i="18"/>
  <c r="B10" i="18"/>
  <c r="B9" i="18"/>
  <c r="B8" i="18"/>
  <c r="B7" i="18"/>
  <c r="B6" i="18"/>
  <c r="C21" i="48" l="1"/>
  <c r="T82" i="3" s="1"/>
  <c r="I20" i="8" s="1"/>
  <c r="C21" i="69"/>
  <c r="Q9" i="8"/>
  <c r="F10" i="18"/>
  <c r="Q7" i="8"/>
  <c r="F8" i="18"/>
  <c r="Q8" i="8"/>
  <c r="F9" i="18"/>
  <c r="Q13" i="8"/>
  <c r="F14" i="18"/>
  <c r="Q6" i="8"/>
  <c r="F7" i="18"/>
  <c r="Q12" i="8"/>
  <c r="F13" i="18"/>
  <c r="Q11" i="8"/>
  <c r="F12" i="18"/>
  <c r="N14" i="8"/>
  <c r="P10" i="8"/>
  <c r="Q5" i="8"/>
  <c r="C21" i="11"/>
  <c r="S82" i="3" s="1"/>
  <c r="D20" i="8" s="1"/>
  <c r="H7" i="8"/>
  <c r="H13" i="8"/>
  <c r="L13" i="8" s="1"/>
  <c r="H8" i="8"/>
  <c r="L8" i="8" s="1"/>
  <c r="H11" i="8"/>
  <c r="L11" i="8" s="1"/>
  <c r="H5" i="8"/>
  <c r="H10" i="8"/>
  <c r="H6" i="8"/>
  <c r="H9" i="8"/>
  <c r="L12" i="8"/>
  <c r="L9" i="8"/>
  <c r="H10" i="13"/>
  <c r="H10" i="12"/>
  <c r="H12" i="12" s="1"/>
  <c r="H20" i="12" s="1"/>
  <c r="B6" i="8"/>
  <c r="B7" i="8"/>
  <c r="B8" i="8"/>
  <c r="B9" i="8"/>
  <c r="B10" i="8"/>
  <c r="B11" i="8"/>
  <c r="B12" i="8"/>
  <c r="B13" i="8"/>
  <c r="B5" i="8"/>
  <c r="D23" i="8" l="1"/>
  <c r="D22" i="8"/>
  <c r="U83" i="3"/>
  <c r="I113" i="41"/>
  <c r="Q10" i="8"/>
  <c r="Q14" i="8" s="1"/>
  <c r="F11" i="18"/>
  <c r="F15" i="18" s="1"/>
  <c r="P14" i="8"/>
  <c r="K7" i="8"/>
  <c r="G20" i="7"/>
  <c r="D13" i="8"/>
  <c r="I32" i="41"/>
  <c r="I33" i="41" s="1"/>
  <c r="H14" i="8"/>
  <c r="E10" i="8" l="1"/>
  <c r="E5" i="8"/>
  <c r="F5" i="8" s="1"/>
  <c r="G5" i="8" s="1"/>
  <c r="D24" i="8"/>
  <c r="E8" i="18"/>
  <c r="L7" i="8"/>
  <c r="C14" i="8"/>
  <c r="C15" i="7"/>
  <c r="C18" i="7" l="1"/>
  <c r="C4" i="11"/>
  <c r="C15" i="18"/>
  <c r="K27" i="7" s="1"/>
  <c r="C5" i="11" l="1"/>
  <c r="D21" i="11" l="1"/>
  <c r="C24" i="11"/>
  <c r="D41" i="1"/>
  <c r="D24" i="11" l="1"/>
  <c r="C23" i="48"/>
  <c r="J32" i="41"/>
  <c r="F12" i="8"/>
  <c r="F7" i="8"/>
  <c r="F11" i="8"/>
  <c r="G11" i="8" s="1"/>
  <c r="F8" i="8"/>
  <c r="F13" i="8"/>
  <c r="C26" i="48" l="1"/>
  <c r="C23" i="69" s="1"/>
  <c r="C26" i="69" s="1"/>
  <c r="D8" i="18"/>
  <c r="G8" i="18" s="1"/>
  <c r="G7" i="8"/>
  <c r="D13" i="18"/>
  <c r="G13" i="18" s="1"/>
  <c r="G12" i="8"/>
  <c r="G8" i="8"/>
  <c r="D9" i="18"/>
  <c r="G9" i="18" s="1"/>
  <c r="D14" i="18"/>
  <c r="G14" i="18" s="1"/>
  <c r="G13" i="8"/>
  <c r="K3" i="41"/>
  <c r="K32" i="41" s="1"/>
  <c r="L32" i="41" s="1"/>
  <c r="L73" i="41" s="1"/>
  <c r="L75" i="41" s="1"/>
  <c r="F9" i="8"/>
  <c r="D12" i="18"/>
  <c r="G12" i="18" s="1"/>
  <c r="L112" i="41" l="1"/>
  <c r="G9" i="8"/>
  <c r="D10" i="18"/>
  <c r="G10" i="18" s="1"/>
  <c r="F10" i="8" l="1"/>
  <c r="I23" i="8" l="1"/>
  <c r="I22" i="8"/>
  <c r="J5" i="8" s="1"/>
  <c r="D6" i="18"/>
  <c r="D11" i="18"/>
  <c r="G10" i="8"/>
  <c r="J10" i="8" l="1"/>
  <c r="K10" i="8" s="1"/>
  <c r="K5" i="8"/>
  <c r="I24" i="8"/>
  <c r="F6" i="8"/>
  <c r="C20" i="7" l="1"/>
  <c r="I14" i="8"/>
  <c r="E6" i="18"/>
  <c r="L5" i="8"/>
  <c r="E11" i="18"/>
  <c r="G11" i="18" s="1"/>
  <c r="L10" i="8"/>
  <c r="D14" i="8"/>
  <c r="G6" i="8"/>
  <c r="G14" i="8" s="1"/>
  <c r="F14" i="8"/>
  <c r="D7" i="18"/>
  <c r="D15" i="18" s="1"/>
  <c r="G6" i="18" l="1"/>
  <c r="E7" i="18"/>
  <c r="G7" i="18" s="1"/>
  <c r="G15" i="18" l="1"/>
  <c r="E15" i="18"/>
  <c r="L6" i="8"/>
  <c r="L14" i="8" s="1"/>
  <c r="K14" i="8"/>
  <c r="T30"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tc={B94B61BE-9E95-456D-83ED-BA5ED89F596A}</author>
    <author>tc={DBD976BE-1EA5-4F82-B578-BB477409D36E}</author>
    <author>tc={AA2AAB68-C334-402F-BFE2-A7D00ACCE4BE}</author>
    <author>tc={2F536141-AE0B-480B-9256-AC86F43D41D9}</author>
    <author>tc={CD0EAA3A-8612-41AC-AEA9-2402CC95F0F9}</author>
    <author>tc={E105EA63-7C78-41C4-8D8F-2A5203F081DB}</author>
    <author>tc={E5436728-87D0-492B-83F9-14F3FA74D779}</author>
    <author>tc={2718DB0D-6394-4B31-BD4D-B1D4C2924D70}</author>
  </authors>
  <commentList>
    <comment ref="I10" authorId="0" shapeId="0" xr:uid="{B94B61BE-9E95-456D-83ED-BA5ED89F596A}">
      <text>
        <t>[Threaded comment]
Your version of Excel allows you to read this threaded comment; however, any edits to it will get removed if the file is opened in a newer version of Excel. Learn more: https://go.microsoft.com/fwlink/?linkid=870924
Comment:
    Includes roof repairs in scope.</t>
      </text>
    </comment>
    <comment ref="M10" authorId="1" shapeId="0" xr:uid="{DBD976BE-1EA5-4F82-B578-BB477409D36E}">
      <text>
        <t>[Threaded comment]
Your version of Excel allows you to read this threaded comment; however, any edits to it will get removed if the file is opened in a newer version of Excel. Learn more: https://go.microsoft.com/fwlink/?linkid=870924
Comment:
    Includes both A&amp;S swing space and FRP scope.</t>
      </text>
    </comment>
    <comment ref="X11" authorId="2" shapeId="0" xr:uid="{AA2AAB68-C334-402F-BFE2-A7D00ACCE4BE}">
      <text>
        <t>[Threaded comment]
Your version of Excel allows you to read this threaded comment; however, any edits to it will get removed if the file is opened in a newer version of Excel. Learn more: https://go.microsoft.com/fwlink/?linkid=870924
Comment:
    Project will be joint funded, FPR / Divinity + Dean of Students.</t>
      </text>
    </comment>
    <comment ref="X19" authorId="3" shapeId="0" xr:uid="{2F536141-AE0B-480B-9256-AC86F43D41D9}">
      <text>
        <t>[Threaded comment]
Your version of Excel allows you to read this threaded comment; however, any edits to it will get removed if the file is opened in a newer version of Excel. Learn more: https://go.microsoft.com/fwlink/?linkid=870924
Comment:
    Phase 2 estimate. May be a separate project ID.</t>
      </text>
    </comment>
    <comment ref="M28" authorId="4" shapeId="0" xr:uid="{CD0EAA3A-8612-41AC-AEA9-2402CC95F0F9}">
      <text>
        <t xml:space="preserve">[Threaded comment]
Your version of Excel allows you to read this threaded comment; however, any edits to it will get removed if the file is opened in a newer version of Excel. Learn more: https://go.microsoft.com/fwlink/?linkid=870924
Comment:
    Includes both A&amp;S third floor renovation FRP (VAV boxes) scope. </t>
      </text>
    </comment>
    <comment ref="I38" authorId="5" shapeId="0" xr:uid="{E105EA63-7C78-41C4-8D8F-2A5203F081DB}">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9" authorId="6" shapeId="0" xr:uid="{E5436728-87D0-492B-83F9-14F3FA74D779}">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40" authorId="7" shapeId="0" xr:uid="{2718DB0D-6394-4B31-BD4D-B1D4C2924D70}">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tc={85245034-B175-4331-A4C4-D9D0079EF84F}</author>
  </authors>
  <commentList>
    <comment ref="E44" authorId="0" shapeId="0" xr:uid="{85245034-B175-4331-A4C4-D9D0079EF84F}">
      <text>
        <t>[Threaded comment]
Your version of Excel allows you to read this threaded comment; however, any edits to it will get removed if the file is opened in a newer version of Excel. Learn more: https://go.microsoft.com/fwlink/?linkid=870924
Comment:
    Preliminary cost estimates presented in three options. $4M - $5M range.</t>
      </text>
    </comment>
  </commentList>
</comments>
</file>

<file path=xl/sharedStrings.xml><?xml version="1.0" encoding="utf-8"?>
<sst xmlns="http://schemas.openxmlformats.org/spreadsheetml/2006/main" count="2098" uniqueCount="519">
  <si>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</si>
  <si>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</si>
  <si>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</si>
  <si>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</si>
  <si>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</si>
  <si>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</si>
  <si>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</si>
  <si>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</si>
  <si>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</si>
  <si>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</si>
  <si>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</si>
  <si>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</si>
  <si>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</si>
  <si>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</si>
  <si>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</si>
  <si>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</si>
  <si>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</si>
  <si>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</si>
  <si>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</si>
  <si>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</si>
  <si>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</si>
  <si>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</si>
  <si>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</si>
  <si>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</si>
  <si>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</si>
  <si>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</si>
  <si>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</si>
  <si>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</si>
  <si>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</si>
  <si>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</si>
  <si>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</si>
  <si>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</si>
  <si>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</si>
  <si>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</si>
  <si>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</si>
  <si>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</si>
  <si>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</si>
  <si>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</si>
  <si>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</si>
  <si>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</si>
  <si>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</si>
  <si>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</si>
  <si>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</si>
  <si>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</si>
  <si>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</si>
  <si>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</si>
  <si>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</si>
  <si>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</si>
  <si>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</si>
  <si>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</si>
  <si>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</si>
  <si>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</si>
  <si>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</si>
  <si>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</si>
  <si>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</si>
  <si>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</si>
  <si>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</si>
  <si>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</si>
  <si>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</si>
  <si>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</si>
  <si>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</si>
  <si>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</si>
  <si>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</si>
  <si>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</si>
  <si>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</si>
  <si>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</si>
  <si>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</si>
  <si>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</si>
  <si>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</si>
  <si>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</si>
  <si>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</si>
  <si>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</si>
  <si>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</si>
  <si>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</si>
  <si>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</si>
  <si>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</si>
  <si>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</si>
  <si>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</si>
  <si>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</si>
  <si>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</si>
  <si>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</si>
  <si>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</si>
  <si>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</si>
  <si>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</si>
  <si>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</si>
  <si>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</si>
  <si>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</si>
  <si>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</si>
  <si>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</si>
  <si>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</si>
  <si>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</si>
  <si>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</si>
  <si>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</si>
  <si>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</si>
  <si>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</si>
  <si>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</si>
  <si>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</si>
  <si>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</si>
  <si>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</si>
  <si>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</si>
  <si>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</si>
  <si>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</si>
  <si>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</si>
  <si>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</si>
  <si>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</si>
  <si>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</si>
  <si>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</si>
  <si>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</si>
  <si>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</si>
  <si>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Programming / Planning</t>
  </si>
  <si>
    <t>CP_400023</t>
  </si>
  <si>
    <t>Benson Old Central - Replace Soffit and Doors</t>
  </si>
  <si>
    <t xml:space="preserve">Last updated: </t>
  </si>
  <si>
    <t>Projects</t>
  </si>
  <si>
    <t>Building</t>
  </si>
  <si>
    <t>Row Labels</t>
  </si>
  <si>
    <t>Grand Total</t>
  </si>
  <si>
    <t>Approved_Budget</t>
  </si>
  <si>
    <t>Projects in MRBIII to be split 65% School of Medicine Basic Sciences / 35% Arts &amp; Sciences</t>
  </si>
  <si>
    <t>Estimated Budget</t>
  </si>
  <si>
    <t>A&amp;S</t>
  </si>
  <si>
    <t>SOM</t>
  </si>
  <si>
    <t>MRB III Adj</t>
  </si>
  <si>
    <t>Remaining funds</t>
  </si>
  <si>
    <t>Funding transfers</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</si>
  <si>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</si>
  <si>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</si>
  <si>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</si>
  <si>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</si>
  <si>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</si>
  <si>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</si>
  <si>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</si>
  <si>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</si>
  <si>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</si>
  <si>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</si>
  <si>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</si>
  <si>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</si>
  <si>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</si>
  <si>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</si>
  <si>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</si>
  <si>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</si>
  <si>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</si>
  <si>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</si>
  <si>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</si>
  <si>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</si>
  <si>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</si>
  <si>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</si>
  <si>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</si>
  <si>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</si>
  <si>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</si>
  <si>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</si>
  <si>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</si>
  <si>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</si>
  <si>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</si>
  <si>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</si>
  <si>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</si>
  <si>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</si>
  <si>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</si>
  <si>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</si>
  <si>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</si>
  <si>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</si>
  <si>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</si>
  <si>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</si>
  <si>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</si>
  <si>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</si>
  <si>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</si>
  <si>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</si>
  <si>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eBuilder Project No</t>
  </si>
  <si>
    <t>Project Phase</t>
  </si>
  <si>
    <t>Project Description</t>
  </si>
  <si>
    <t>(1)</t>
  </si>
  <si>
    <t>(2)</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</si>
  <si>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</si>
  <si>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</si>
  <si>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</si>
  <si>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</si>
  <si>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</si>
  <si>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</si>
  <si>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</si>
  <si>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</si>
  <si>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</si>
  <si>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</si>
  <si>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</si>
  <si>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</si>
  <si>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</si>
  <si>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</si>
  <si>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</si>
  <si>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Elevator #3 Modernization</t>
  </si>
  <si>
    <t>CP_400163</t>
  </si>
  <si>
    <r>
      <t xml:space="preserve">Facility Renewal Program: </t>
    </r>
    <r>
      <rPr>
        <b/>
        <i/>
        <sz val="11"/>
        <color theme="1"/>
        <rFont val="Calibri"/>
        <family val="2"/>
        <scheme val="minor"/>
      </rPr>
      <t>Summary by School</t>
    </r>
  </si>
  <si>
    <r>
      <t xml:space="preserve">Facility Renewal Program: </t>
    </r>
    <r>
      <rPr>
        <b/>
        <i/>
        <sz val="11"/>
        <color theme="1"/>
        <rFont val="Calibri"/>
        <family val="2"/>
        <scheme val="minor"/>
      </rPr>
      <t>Summary by Project</t>
    </r>
  </si>
  <si>
    <t xml:space="preserve">--this worksheet is used to allocate FRP costs for shared buildings to applicable schools. </t>
  </si>
  <si>
    <r>
      <t xml:space="preserve">Facility Renewal Program: </t>
    </r>
    <r>
      <rPr>
        <b/>
        <i/>
        <sz val="11"/>
        <color theme="1"/>
        <rFont val="Calibri"/>
        <family val="2"/>
        <scheme val="minor"/>
      </rPr>
      <t>Projects</t>
    </r>
  </si>
  <si>
    <t>Summary</t>
  </si>
  <si>
    <t>Arts &amp; Science</t>
  </si>
  <si>
    <t>Owen</t>
  </si>
  <si>
    <t>Blair</t>
  </si>
  <si>
    <t>Divinity</t>
  </si>
  <si>
    <t>Engineering</t>
  </si>
  <si>
    <t>Law</t>
  </si>
  <si>
    <t>Nursing</t>
  </si>
  <si>
    <t>SOM Basic Sciences</t>
  </si>
  <si>
    <t>Peabody</t>
  </si>
  <si>
    <t>Lookup</t>
  </si>
  <si>
    <t>Facility Renewal Program: Interactive Pivot Table</t>
  </si>
  <si>
    <t>WILSON HALL</t>
  </si>
  <si>
    <t>SC SCIENCE &amp; ENGINEERING</t>
  </si>
  <si>
    <r>
      <t xml:space="preserve">Facility Renewal Program: </t>
    </r>
    <r>
      <rPr>
        <b/>
        <i/>
        <sz val="11"/>
        <color theme="1"/>
        <rFont val="Calibri"/>
        <family val="2"/>
        <scheme val="minor"/>
      </rPr>
      <t>Contributions - FY24</t>
    </r>
  </si>
  <si>
    <r>
      <t xml:space="preserve">Facility Renewal Program: </t>
    </r>
    <r>
      <rPr>
        <b/>
        <i/>
        <sz val="11"/>
        <color theme="1"/>
        <rFont val="Calibri"/>
        <family val="2"/>
        <scheme val="minor"/>
      </rPr>
      <t>Contributions - FY23</t>
    </r>
  </si>
  <si>
    <t>Anticipated spend</t>
  </si>
  <si>
    <t>CP_400165</t>
  </si>
  <si>
    <t>Wyatt Center - Elevator #2 Modernization</t>
  </si>
  <si>
    <t>CP_400168</t>
  </si>
  <si>
    <t>BAC-2</t>
  </si>
  <si>
    <t>crowhus_10312022_FRP</t>
  </si>
  <si>
    <t>TBD</t>
  </si>
  <si>
    <t>CP_400164</t>
  </si>
  <si>
    <t>Wilson Hall - Fire Alarm Replacement</t>
  </si>
  <si>
    <t>FY22 invoices covered by VUSN</t>
  </si>
  <si>
    <t>CP_400171</t>
  </si>
  <si>
    <t>BAC-8</t>
  </si>
  <si>
    <t>Projects to be discussed</t>
  </si>
  <si>
    <t>Invoices Approved</t>
  </si>
  <si>
    <t>Bidding</t>
  </si>
  <si>
    <t>Estimated 
Total Budget</t>
  </si>
  <si>
    <t>crowhus_11302022_FRP</t>
  </si>
  <si>
    <t>to be covered by Dean of Students (DOS) BAC-8</t>
  </si>
  <si>
    <t>CP_400175</t>
  </si>
  <si>
    <t>Capex / Opex</t>
  </si>
  <si>
    <t>CP_400178</t>
  </si>
  <si>
    <t>crowhus_12312022_FRP</t>
  </si>
  <si>
    <t>Warranty / Construction Closeout</t>
  </si>
  <si>
    <t>CP_400182</t>
  </si>
  <si>
    <t>Bryan Building - Swing Space Renovation - A&amp;S Planning</t>
  </si>
  <si>
    <t>Cathy Bartlett</t>
  </si>
  <si>
    <t>CP_400183</t>
  </si>
  <si>
    <t>CP_400185</t>
  </si>
  <si>
    <t>crowhus_01312023_FRP</t>
  </si>
  <si>
    <t xml:space="preserve">design to be covered by A&amp;S </t>
  </si>
  <si>
    <t>Wyatt Center - Window Replacement</t>
  </si>
  <si>
    <t>OWEN GRAD MGMT</t>
  </si>
  <si>
    <t>FY23 FRP Cash Transferred</t>
  </si>
  <si>
    <t>BRYAN BLDG</t>
  </si>
  <si>
    <t>Contribution vs. FY23 FRP funding</t>
  </si>
  <si>
    <t>Contribution vs. FY24 FRP funding</t>
  </si>
  <si>
    <t>FY23 
Contribution</t>
  </si>
  <si>
    <t>FY24 
Contribution</t>
  </si>
  <si>
    <t>CP_400187</t>
  </si>
  <si>
    <t>crowhus_02282023_FRP</t>
  </si>
  <si>
    <t>Transferred</t>
  </si>
  <si>
    <t>Remaining</t>
  </si>
  <si>
    <t>Owen - Roof Replacement (Third Level)</t>
  </si>
  <si>
    <t>CP_400192</t>
  </si>
  <si>
    <t>CP_400174</t>
  </si>
  <si>
    <t>BUTTRICK HALL</t>
  </si>
  <si>
    <t>Buttrick Hall - 3rd Floor Inequality Renovations</t>
  </si>
  <si>
    <t>Erin Fry</t>
  </si>
  <si>
    <t>SIX MAGNOLIA CIRCLE</t>
  </si>
  <si>
    <t>Six Magnolia Circle - Foundation Repairs</t>
  </si>
  <si>
    <t>Not Started</t>
  </si>
  <si>
    <t>SC4 - Interstitial Space HVAC Modifications</t>
  </si>
  <si>
    <t>Financial Closeout</t>
  </si>
  <si>
    <t>03/22/2023 Project is in closeout.</t>
  </si>
  <si>
    <t>Total transfers from FRP cash</t>
  </si>
  <si>
    <t>crowhus_03312023_FRP</t>
  </si>
  <si>
    <t>CP_400198</t>
  </si>
  <si>
    <t>Keck FEL - Roof Replacement</t>
  </si>
  <si>
    <t>Project Status'!A1</t>
  </si>
  <si>
    <t>JE LOG_FY23'!A1</t>
  </si>
  <si>
    <t>FY25 FRP Estimated</t>
  </si>
  <si>
    <t>crowhus_04302023_FRP</t>
  </si>
  <si>
    <t>Law School - Fire Alarm System Replacement</t>
  </si>
  <si>
    <t>LAW SCHOOL</t>
  </si>
  <si>
    <t>Law School - Sections 1, 2, &amp; 3  Roof Replacement</t>
  </si>
  <si>
    <t>BAC-3 (partial)</t>
  </si>
  <si>
    <t>crowhus_05312023_FRP</t>
  </si>
  <si>
    <t>Peabody Administration - Envelope Repairs</t>
  </si>
  <si>
    <t>VAV controls only</t>
  </si>
  <si>
    <t>CP_400206</t>
  </si>
  <si>
    <t xml:space="preserve">work to be covered by A&amp;S </t>
  </si>
  <si>
    <t>FY 2023</t>
  </si>
  <si>
    <t>FRP Funding</t>
  </si>
  <si>
    <t>Estimated</t>
  </si>
  <si>
    <t>FY 2024</t>
  </si>
  <si>
    <t>FRP Collection</t>
  </si>
  <si>
    <t>FY 2025</t>
  </si>
  <si>
    <t>General guidance regarding the facility renewal program</t>
  </si>
  <si>
    <t xml:space="preserve">In general, any required facility renewal scope should be included in remodel project budgets. </t>
  </si>
  <si>
    <t>In these cases, the project manager needs to work with BOC Finance and the appropriate CBO as soon as possible to discuss project timing.</t>
  </si>
  <si>
    <t>MRB III - 4th Floor - Replace Controls (Phase 2)</t>
  </si>
  <si>
    <t>Warranty or Construction Closeout</t>
  </si>
  <si>
    <t>MRB III - 9th Floor (with 4 ,5 &amp; 8) - Replace Controls (Phase 3)</t>
  </si>
  <si>
    <t>In other words, FRP funds will not be used to augment remodel project budgets.</t>
  </si>
  <si>
    <t>Capital projects impact a school's balance sheet and generally span multiple fiscal years.</t>
  </si>
  <si>
    <t xml:space="preserve">Operating projects impact a school's income statement, which is reported on quarterly through variance reporting. </t>
  </si>
  <si>
    <t>Occasionally, facility renewal projects by nature of their scope and / or cost will not meet the capitalization threshold.</t>
  </si>
  <si>
    <t>Due to the timing of when fiscal year budgets are approved, opex facility renewal project(s) may not be included in the school's budget.</t>
  </si>
  <si>
    <t>When this is the case, the school will need to explain the negative impact of the opex facility renewal project(s) on their income statement.</t>
  </si>
  <si>
    <t>Final costs</t>
  </si>
  <si>
    <t>crowhus_06302023_FRP</t>
  </si>
  <si>
    <t>FX2-1</t>
  </si>
  <si>
    <t>FY24 FRP Transferred</t>
  </si>
  <si>
    <t>FY23</t>
  </si>
  <si>
    <t>FY24</t>
  </si>
  <si>
    <t>FY23 FRP</t>
  </si>
  <si>
    <t xml:space="preserve">FY23 FRP funding </t>
  </si>
  <si>
    <t>JE LOG_FY24'!A1</t>
  </si>
  <si>
    <t>crowhus_08072023_FRP</t>
  </si>
  <si>
    <t>Wilson Hall - HVAC Replacement</t>
  </si>
  <si>
    <t>Finalized</t>
  </si>
  <si>
    <t>07/24/2023 Project is complete. I will begin closeout after taking some final photos of the space.</t>
  </si>
  <si>
    <t>crowhus_08082023_FRP</t>
  </si>
  <si>
    <t>Journal entries to be processed next</t>
  </si>
  <si>
    <r>
      <rPr>
        <i/>
        <sz val="11"/>
        <color theme="1"/>
        <rFont val="Calibri"/>
        <family val="2"/>
        <scheme val="minor"/>
      </rPr>
      <t>plus</t>
    </r>
    <r>
      <rPr>
        <sz val="11"/>
        <color theme="1"/>
        <rFont val="Calibri"/>
        <family val="2"/>
        <scheme val="minor"/>
      </rPr>
      <t xml:space="preserve"> carryforward</t>
    </r>
  </si>
  <si>
    <r>
      <rPr>
        <i/>
        <sz val="11"/>
        <color theme="1"/>
        <rFont val="Calibri"/>
        <family val="2"/>
        <scheme val="minor"/>
      </rPr>
      <t xml:space="preserve">(less) </t>
    </r>
    <r>
      <rPr>
        <sz val="11"/>
        <color theme="1"/>
        <rFont val="Calibri"/>
        <family val="2"/>
        <scheme val="minor"/>
      </rPr>
      <t>TBD</t>
    </r>
  </si>
  <si>
    <t>SC PHYSICS &amp; ASTRONOMY</t>
  </si>
  <si>
    <t>SC6 - HVAC Upgrades - Feasibility Study</t>
  </si>
  <si>
    <t>Wyatt Center - HVAC Upgrades - Engineering Study</t>
  </si>
  <si>
    <t>Jay Surprenant</t>
  </si>
  <si>
    <t>08/22/2023 project complete</t>
  </si>
  <si>
    <r>
      <t xml:space="preserve">Facility Renewal Program: </t>
    </r>
    <r>
      <rPr>
        <b/>
        <i/>
        <sz val="11"/>
        <color theme="1"/>
        <rFont val="Calibri"/>
        <family val="2"/>
        <scheme val="minor"/>
      </rPr>
      <t>Contributions - FY25</t>
    </r>
  </si>
  <si>
    <t>BAC-4</t>
  </si>
  <si>
    <t>crowhus_09302023_FRP</t>
  </si>
  <si>
    <t>BAC-10</t>
  </si>
  <si>
    <t>All funded by Divinity- split will resume on project 20489- Divinity AHU 1N</t>
  </si>
  <si>
    <t>09/22/2023 Project complete.  Financial closeout process to begin after confirmation that all invoices have been submitted, approved and cleared.</t>
  </si>
  <si>
    <t>FY23 FRP 
Funding</t>
  </si>
  <si>
    <t>Check</t>
  </si>
  <si>
    <t>FY26 FRP Estimated</t>
  </si>
  <si>
    <t>FY 2026</t>
  </si>
  <si>
    <t>One Magnolia Circle - Elevator Modernization</t>
  </si>
  <si>
    <t>ONE MAGNOLIA CIRCLE</t>
  </si>
  <si>
    <t>CP_400227</t>
  </si>
  <si>
    <t>crowhus_10312023_FRP</t>
  </si>
  <si>
    <t>GODCHAUX HALL</t>
  </si>
  <si>
    <t>Divinity Air Handling Unit Replacement, (5/6)- Phase 1</t>
  </si>
  <si>
    <t>SC-7 Chemistry - SG-1 Removal and Connection to Central Plant Steam</t>
  </si>
  <si>
    <t>SC-5 - Chemical Discharge Replacement</t>
  </si>
  <si>
    <t>10/23/2023 Project complete.  Waiting on final invoice to clear to begin the financial closeout process.</t>
  </si>
  <si>
    <t>DB:</t>
  </si>
  <si>
    <t>CR:</t>
  </si>
  <si>
    <t>phase 1</t>
  </si>
  <si>
    <t>Law School - Exterior Window Painting</t>
  </si>
  <si>
    <t>OGSM Old Mechanical- Slate Roof &amp; Window Replacement</t>
  </si>
  <si>
    <t>BIOMOLECULAR NMR</t>
  </si>
  <si>
    <t>11/22/2023 Project complete.  Waiting on final invoice to clear to begin the financial closeout process.</t>
  </si>
  <si>
    <t>11/27/2023 Project is in closeout</t>
  </si>
  <si>
    <t>09/27/2023 This project is on hold until October. We are awaiting approval from the CBO for initial funding which will be repaid by the FRP.</t>
  </si>
  <si>
    <t>NMR - Replace Air Compressors</t>
  </si>
  <si>
    <t>crowhus_12192023_FRP</t>
  </si>
  <si>
    <t>`</t>
  </si>
  <si>
    <t>crowhus_01302024_FRP</t>
  </si>
  <si>
    <t>SEIGENTHALER CENTER</t>
  </si>
  <si>
    <t>Buttrick Hall - Elevator Upgrades</t>
  </si>
  <si>
    <t>Benson Hall - Elevator Upgrades</t>
  </si>
  <si>
    <t>Wilson Hall - Elevator Upgrades</t>
  </si>
  <si>
    <t>01/22/2024 Project complete.  Waiting on final invoice to clear to begin the financial closeout process.</t>
  </si>
  <si>
    <t>01/22/2024 Project is in closeout</t>
  </si>
  <si>
    <t>01/22/2024 Project is complete.  Waiting on final invoice to clear to begin the closeout process.</t>
  </si>
  <si>
    <t>12/18/2023 Project complete.  Waiting on final invoice to clear to begin the financial closeout process.</t>
  </si>
  <si>
    <t>12/18/2023 Construction complete.  Waiting on final invoices to clear to begin the closeout process.</t>
  </si>
  <si>
    <t>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t>
  </si>
  <si>
    <t>01/22/2024 Project study and estimated pricing is complete. Project in closeout.</t>
  </si>
  <si>
    <t>Unallocated Reserve</t>
  </si>
  <si>
    <t>FY24 subtotal</t>
  </si>
  <si>
    <t>Other</t>
  </si>
  <si>
    <t>Contribution vs. Funded</t>
  </si>
  <si>
    <t>crowhus_02292024_FRP</t>
  </si>
  <si>
    <t>CP_400235</t>
  </si>
  <si>
    <t>FRIST HALL</t>
  </si>
  <si>
    <t>NEELY AUDITORIUM</t>
  </si>
  <si>
    <t>Frist Hall - Stairwell Roof Replacement</t>
  </si>
  <si>
    <t>Programming or Planning</t>
  </si>
  <si>
    <t>Blair School of Music - AHU 2/3 Replacement  - Phase 2 - FY26</t>
  </si>
  <si>
    <t>Neely Auditorium - MEP Feasibility Study</t>
  </si>
  <si>
    <t>Wilson Hall - Lighting Retrofit for 103 and 126</t>
  </si>
  <si>
    <t>1025 16th Avenue - Security System Replacement</t>
  </si>
  <si>
    <t>02/26/2024 Punchlist items have been discussed with the contractor.  Once items are completed, project is ready to closeout.</t>
  </si>
  <si>
    <t>02/23/2024 Construction complete. Library Closeout process complete. The Financial closeout process has been started.</t>
  </si>
  <si>
    <t>FX</t>
  </si>
  <si>
    <t>prior year</t>
  </si>
  <si>
    <t>carryforward</t>
  </si>
  <si>
    <t>Seigenthaler Building - HVAC Improvements</t>
  </si>
  <si>
    <t>CP_400242</t>
  </si>
  <si>
    <t>crowhus_03312024_FRP</t>
  </si>
  <si>
    <t>One Magnolia Circle - Retaining Wall Repair</t>
  </si>
  <si>
    <t>FURMAN HALL</t>
  </si>
  <si>
    <t>Furman Hall - Elevator Modernization</t>
  </si>
  <si>
    <t>CP_400224</t>
  </si>
  <si>
    <t>10000 - Chancellor</t>
  </si>
  <si>
    <t>Divinity Air Handling Unit Replacement,(1/3) - Phase 2 with Benton - FY26</t>
  </si>
  <si>
    <t>Blair School of Music - Steam Line - FY 23</t>
  </si>
  <si>
    <t>crowhus_04302024_FRP</t>
  </si>
  <si>
    <t>Original budget (BAC-1) for $2,640 set up as a Facilities capital project, owning org 37000. It has been determined this is an FRP project and will be assigned to Peabody. Owning org has been updated in Oracle.</t>
  </si>
  <si>
    <t>Vaughn Home - Roof Replacement</t>
  </si>
  <si>
    <t>CP_400251</t>
  </si>
  <si>
    <t>VAUGHN HOME</t>
  </si>
  <si>
    <t>04/24/2024 Project is in closeout</t>
  </si>
  <si>
    <t>CP_400263</t>
  </si>
  <si>
    <t>CP_400256</t>
  </si>
  <si>
    <t>Vaughn Home - Exterior Improvements</t>
  </si>
  <si>
    <t>1025 16th Avenue - Roof Replacement</t>
  </si>
  <si>
    <t>Law School - Elevator 1 Modernization</t>
  </si>
  <si>
    <t>crowhus_05312024_FRP</t>
  </si>
  <si>
    <t>CP_400270</t>
  </si>
  <si>
    <t>crowhus_06302024_FRP</t>
  </si>
  <si>
    <t>FY25 FRP Transferred</t>
  </si>
  <si>
    <t>FY25 FRP Total Contribution</t>
  </si>
  <si>
    <t>JE LOG_FY25'!A1</t>
  </si>
  <si>
    <t xml:space="preserve">FY24 FRP funding </t>
  </si>
  <si>
    <t>FY24 FRP</t>
  </si>
  <si>
    <t>FY25 
Contribution</t>
  </si>
  <si>
    <t xml:space="preserve">FY25 estimated FRP funding </t>
  </si>
  <si>
    <t>FY25</t>
  </si>
  <si>
    <t>FY25 FRP</t>
  </si>
  <si>
    <t>Contribution vs. FY25 FRP funding</t>
  </si>
  <si>
    <t xml:space="preserve">FY23 Funded 
Projects </t>
  </si>
  <si>
    <t>FY24 Funded Projects</t>
  </si>
  <si>
    <t>FY24 FRP Funding</t>
  </si>
  <si>
    <t xml:space="preserve"> FY23 - FY25 Cumulative Contribution</t>
  </si>
  <si>
    <t>FY25 Estimated Projects</t>
  </si>
  <si>
    <t>FY25 FRP Funding</t>
  </si>
  <si>
    <t>crowhus_07312024_FRP</t>
  </si>
  <si>
    <t>Godchaux Hall - HVAC Upgrade</t>
  </si>
  <si>
    <t>1025 16TH AVE GARAGE</t>
  </si>
  <si>
    <t>1025 16th Avenue - Patio Repairs</t>
  </si>
  <si>
    <t>SC5 - HVAC Replacement (Design Services)</t>
  </si>
  <si>
    <t>SC6 - Roof Replacement</t>
  </si>
  <si>
    <t>Wilson Hall - 1st Floor Urinal Replacement</t>
  </si>
  <si>
    <t>SC5 - HVAC Upgrade Floors 1 and 2 (Phase 1)</t>
  </si>
  <si>
    <t>SC5 - HVAC Upgrade Floors 4, 5, and 7 (Phase 2)</t>
  </si>
  <si>
    <t>SC5 - HVAC Upgrade Floors 3 and 6 (Phase 3)</t>
  </si>
  <si>
    <t>SC5 - HVAC Upgrade Floors 8 and 9 (Phase 4)</t>
  </si>
  <si>
    <t>FEATHERINGILL-JACOBS HALL</t>
  </si>
  <si>
    <t>07/29/2024 work is complete</t>
  </si>
  <si>
    <t>On hold per FRP 07/24/2024 until summer of 2026</t>
  </si>
  <si>
    <t>05/21/2024 04/23/2024 BAC to be submitted for funding x-fer. 05/21 project on hold</t>
  </si>
  <si>
    <t>crowhus_08312024_FRP</t>
  </si>
  <si>
    <t>Blair School of Music - AHU - 1 Replacement - Phase 1 - FY25</t>
  </si>
  <si>
    <r>
      <t xml:space="preserve">Facility Renewal Program: </t>
    </r>
    <r>
      <rPr>
        <b/>
        <i/>
        <sz val="11"/>
        <color theme="1"/>
        <rFont val="Calibri"/>
        <family val="2"/>
        <scheme val="minor"/>
      </rPr>
      <t>Contributions - FY26</t>
    </r>
  </si>
  <si>
    <t>College of Connected Computing</t>
  </si>
  <si>
    <t>09/26/2024 Project is in library closeout. Will complete financial closeout after.</t>
  </si>
  <si>
    <t>crowhus_09302024_FRP</t>
  </si>
  <si>
    <t>12100 - Arts and Science: Business Affairs</t>
  </si>
  <si>
    <t>Rewers, Sean</t>
  </si>
  <si>
    <t>crowhus_10312024_FRP</t>
  </si>
  <si>
    <t>CP_400282</t>
  </si>
  <si>
    <t>CP_400291</t>
  </si>
  <si>
    <t>MRBIII - 5th Floor Controls</t>
  </si>
  <si>
    <t>Law School - replace front stairs ($200k - $400k)</t>
  </si>
  <si>
    <t>Notes about upcoming planning</t>
  </si>
  <si>
    <t>11/25/2024 Project in FX</t>
  </si>
  <si>
    <t>04/23/2024 Project is complete.</t>
  </si>
  <si>
    <t>08/23/2024 VUMO is managing this project.  CPC is helping with the PO/financial process.</t>
  </si>
  <si>
    <t>11/26/2024 Construction is complete.  Waiting on the final invoice to begin the closeout process.</t>
  </si>
  <si>
    <t>Project was cancelled per Aaron Covey and Chris Preston. Email in documents folder.</t>
  </si>
  <si>
    <t>11/25/2024 We are awaiting TAB and other reports from Nashville Machine, then we will put into FX.</t>
  </si>
  <si>
    <t>09/24/2024 This is FY 26 project.   No updates to provide yet.  Project not started.</t>
  </si>
  <si>
    <t>09/24/2024 Project not started.  this is an FY28 project.</t>
  </si>
  <si>
    <t>09/24/2024 Project not started.  This is an FY29 project.</t>
  </si>
  <si>
    <t>crowhus_12312024_FRP</t>
  </si>
  <si>
    <t>eB #</t>
  </si>
  <si>
    <t>crowhus_01312025_FRP</t>
  </si>
  <si>
    <t>SC MOLEC BIOLOGY</t>
  </si>
  <si>
    <t>SC2 - MEP Feasibility Study</t>
  </si>
  <si>
    <t>Active</t>
  </si>
  <si>
    <t>Godchaux Hall - Phase 2 HVAC Upgrades</t>
  </si>
  <si>
    <t>Buttrick Hall - Insulate First Floor Slab</t>
  </si>
  <si>
    <t>OLIN HALL</t>
  </si>
  <si>
    <t>Olin Hall - Exterior Facade Cleaning</t>
  </si>
  <si>
    <t>SC MATH</t>
  </si>
  <si>
    <t>SC1 - MEP Feasibility Study</t>
  </si>
  <si>
    <t>CALHOUN HALL</t>
  </si>
  <si>
    <t>Calhoun Hall - MEP Feasibility Study</t>
  </si>
  <si>
    <t>Furman Hall - MEP Feasibility Study</t>
  </si>
  <si>
    <t>Law School - MEP Feasibility Study</t>
  </si>
  <si>
    <t>2500 KENSINGTON PL</t>
  </si>
  <si>
    <t>2500 Kensington Place - Sewer Line Replacement</t>
  </si>
  <si>
    <t>Godchaux Hall - Replace Fire Pump</t>
  </si>
  <si>
    <t>Blair School of Music - Locker Replacement</t>
  </si>
  <si>
    <t>1025 16th Avenue - Electrical and HVAC Study</t>
  </si>
  <si>
    <t>MRBIII - Lecture Hall V1220 Lighting Upgrade</t>
  </si>
  <si>
    <t>MRBIII - Chemical Discharge Tank Replacement</t>
  </si>
  <si>
    <t>Project Status</t>
  </si>
  <si>
    <t>Complete</t>
  </si>
  <si>
    <t>Deferred / On Hold</t>
  </si>
  <si>
    <t>Voided</t>
  </si>
  <si>
    <t>Featheringill-Jacobs Hall - Hot Water Tank Replacement</t>
  </si>
  <si>
    <t>01/22/2025 Project Complete</t>
  </si>
  <si>
    <t>01/25/2025 Door hardware will be replaced early 2025 then the project will be closed out.</t>
  </si>
  <si>
    <t>01/22/2025 Kick off/page flip meeting to occur in February 2025.</t>
  </si>
  <si>
    <t>01/22/2025 AHU in production, delivery is 24 weeks out (May 2025). 
Meeting scheduled in late January.</t>
  </si>
  <si>
    <t>01/23/2025 PO has been issued and we are awaiting submittals for equipment. We want to get these ordered asap so we can install in summer 2025, mitigate lead time. Actual construction to start in late spring.</t>
  </si>
  <si>
    <t>01/28/2025 We are awaiting definitive plans from the CUI project to determine where our chilled water connection will be. If hot water goes past the building as part of CUI we will rework the design to include hot water connection.</t>
  </si>
  <si>
    <t>01/28/2025 New tanks and bypass was installed over winter break. We issued a CO to add in grating around the tanks and a ladder for easier access. We are awaiting a few parts for the discharge system and will schedule an outage with help from building occupants.</t>
  </si>
  <si>
    <t>02/05/2025 PO is in process.  Once completed, work will begin.  Pre-exploratory work has been completed of above ceiling conditions, VAVs in need of replacement have been identified.  Targeting March to begin work.</t>
  </si>
  <si>
    <t>01/22/2025 Project substantially complete.</t>
  </si>
  <si>
    <t>01/29/2025 Moving through LC process. no change from last month.</t>
  </si>
  <si>
    <t>01/22/2025 Project is 99% complete.  Scaffolding has been removed.  Items that remain are one downspout, basement window painting and grate painting.</t>
  </si>
  <si>
    <t>01/22/2025 Project is complete.  Waiting on final invoices to clear to begin the closeout process.</t>
  </si>
  <si>
    <t>01/23/2025 THP has completed the majority of design, we are getting input on lighting and possibly fencing as final part of design. THP will bid out in the spring and work will start late summer 2025</t>
  </si>
  <si>
    <t>01/22/2025 Fire system to be completed the week of 01/20. Inspection shifted to Jan 30. Cab interiors to follow the next week after inspection.  Working with jack company to schedule jack installation per our discussion.</t>
  </si>
  <si>
    <t>01/31/2025 Alas has been making repairs to fans and down compressors during the month of January. Controls need to be updated once all repairs are made.</t>
  </si>
  <si>
    <t>01/22/2025 Construction complete and inspection passed.  Waiting on invoices to clear to begin the closeout process.</t>
  </si>
  <si>
    <t>01/29/2025 Moved to library closeout.  waiting on closeout documents from contractor.  No change from last month.</t>
  </si>
  <si>
    <t>01/22/2025 Kickoff meeting to occur in February</t>
  </si>
  <si>
    <t>01/29/2025 Project completed.  Moving to Library Closeout.  No change from last month.</t>
  </si>
  <si>
    <t>01/28/2025 Cameras have been installed and last of the hardware should be received end of January. All wiring has been pulled, remaining work all to be completed at once.</t>
  </si>
  <si>
    <t>01/22/2025 PO has been issued to the contractor.  Engineering drawings, review and production has started.  Construction to start on 05/13/2025.</t>
  </si>
  <si>
    <t>01/22/2025 Project is currently out to bid.  Bids are due 01/31</t>
  </si>
  <si>
    <t>01/22/2025 Working with the appropriate parties to determine the scope of work and the time frame of the work.</t>
  </si>
  <si>
    <t>01/22/2025 Project complete</t>
  </si>
  <si>
    <t>01/28/2025 Project bid walk scheduled for 1/31, bids due 1/14.</t>
  </si>
  <si>
    <t>01/28/2025 We have received a cost estimate for replacing the existing heat exchanger. We have decided to ask for a hot water tank replacement as HX is not needed. Awaiting pricing on hot water tank.</t>
  </si>
  <si>
    <t>01/28/2025 Project put out to bid, bids due 2/14.</t>
  </si>
  <si>
    <t>01/28/2025 Awaiting proposal for design from SSR and John Teselle. Will get design started and finalize design for rooftop covering with building occupants.</t>
  </si>
  <si>
    <t>01/28/2025 seeking bids for insulation work.  Targeting 2/21 for budget numbers.</t>
  </si>
  <si>
    <t>01/22/2025 Met with the customer to determine the needs for the scope of work.  Will include 4 prices for cleaning and sealing ESB and Olin.</t>
  </si>
  <si>
    <t xml:space="preserve">New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</si>
</sst>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 numFmtId="169" formatCode="_(* #,##0.0_);_(* \(#,##0.0\);_(* &quot;-&quot;??_);_(@_)"/>
    <numFmt numFmtId="170" formatCode="_(* #,##0_);_(* \(#,##0\);_(* &quot;-&quot;?_);_(@_)"/>
  </numFmts>
  <fonts count="41"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b/>
      <sz val="11"/>
      <color rgb="FF000000"/>
      <name val="Calibri"/>
      <family val="2"/>
      <scheme val="minor"/>
    </font>
    <font>
      <sz val="11"/>
      <color theme="5"/>
      <name val="Calibri"/>
      <family val="2"/>
      <scheme val="minor"/>
    </font>
    <font>
      <i/>
      <sz val="10"/>
      <name val="Calibri"/>
      <family val="2"/>
      <scheme val="minor"/>
    </font>
    <font>
      <b/>
      <i/>
      <sz val="11"/>
      <color theme="1"/>
      <name val="Calibri"/>
      <family val="2"/>
      <scheme val="minor"/>
    </font>
    <font>
      <i/>
      <sz val="11"/>
      <color theme="1"/>
      <name val="Calibri"/>
      <family val="2"/>
      <scheme val="minor"/>
    </font>
    <font>
      <sz val="10"/>
      <name val="Tahoma"/>
      <family val="2"/>
    </font>
    <font>
      <b/>
      <u/>
      <sz val="11"/>
      <color theme="1"/>
      <name val="Calibri"/>
      <family val="2"/>
      <scheme val="minor"/>
    </font>
    <font>
      <sz val="11"/>
      <color rgb="FFC00000"/>
      <name val="Calibri"/>
      <family val="2"/>
      <scheme val="minor"/>
    </font>
    <font>
      <sz val="9"/>
      <color theme="1"/>
      <name val="Calibri"/>
      <family val="2"/>
      <scheme val="minor"/>
    </font>
    <font>
      <i/>
      <sz val="9"/>
      <color theme="1"/>
      <name val="Calibri"/>
      <family val="2"/>
      <scheme val="minor"/>
    </font>
    <font>
      <sz val="12"/>
      <color rgb="FF474F61"/>
      <name val="Arial"/>
      <family val="2"/>
    </font>
    <font>
      <i/>
      <sz val="10"/>
      <color theme="1"/>
      <name val="Calibri"/>
      <family val="2"/>
      <scheme val="minor"/>
    </font>
    <font>
      <u/>
      <sz val="11"/>
      <color theme="10"/>
      <name val="Calibri"/>
      <family val="2"/>
      <scheme val="minor"/>
    </font>
    <font>
      <sz val="11"/>
      <color rgb="FFFF0000"/>
      <name val="Calibri"/>
      <family val="2"/>
      <scheme val="minor"/>
    </font>
    <font>
      <sz val="16"/>
      <color theme="0"/>
      <name val="Calibri"/>
      <family val="2"/>
      <scheme val="minor"/>
    </font>
    <font>
      <i/>
      <sz val="11"/>
      <color rgb="FF7F7F7F"/>
      <name val="Calibri"/>
      <family val="2"/>
      <scheme val="minor"/>
    </font>
    <font>
      <i/>
      <sz val="16"/>
      <color rgb="FF7F7F7F"/>
      <name val="Calibri"/>
      <family val="2"/>
      <scheme val="minor"/>
    </font>
    <font>
      <u/>
      <sz val="11"/>
      <color theme="8" tint="-0.499984740745262"/>
      <name val="Calibri"/>
      <family val="2"/>
      <scheme val="minor"/>
    </font>
    <font>
      <sz val="11"/>
      <color theme="9" tint="-0.249977111117893"/>
      <name val="Calibri"/>
      <family val="2"/>
      <scheme val="minor"/>
    </font>
    <font>
      <i/>
      <strike/>
      <sz val="10"/>
      <name val="Calibri"/>
      <family val="2"/>
      <scheme val="minor"/>
    </font>
    <font>
      <strike/>
      <sz val="11"/>
      <name val="Calibri"/>
      <family val="2"/>
      <scheme val="minor"/>
    </font>
    <font>
      <strike/>
      <u/>
      <sz val="11"/>
      <color theme="8" tint="-0.499984740745262"/>
      <name val="Calibri"/>
      <family val="2"/>
      <scheme val="minor"/>
    </font>
    <font>
      <strike/>
      <sz val="11"/>
      <color theme="1"/>
      <name val="Calibri"/>
      <family val="2"/>
      <scheme val="minor"/>
    </font>
    <font>
      <strike/>
      <u/>
      <sz val="11"/>
      <color theme="10"/>
      <name val="Calibri"/>
      <family val="2"/>
      <scheme val="minor"/>
    </font>
    <font>
      <i/>
      <sz val="11"/>
      <name val="Calibri"/>
      <family val="2"/>
      <scheme val="minor"/>
    </font>
    <font>
      <i/>
      <sz val="11"/>
      <color theme="9"/>
      <name val="Calibri"/>
      <family val="2"/>
      <scheme val="minor"/>
    </font>
    <font>
      <vertAlign val="superscript"/>
      <sz val="11"/>
      <color theme="1"/>
      <name val="Calibri"/>
      <family val="2"/>
      <scheme val="minor"/>
    </font>
    <font>
      <strike/>
      <sz val="11"/>
      <color theme="9" tint="-0.249977111117893"/>
      <name val="Calibri"/>
      <family val="2"/>
      <scheme val="minor"/>
    </font>
    <font>
      <i/>
      <sz val="11"/>
      <color theme="0"/>
      <name val="Calibri"/>
      <family val="2"/>
      <scheme val="minor"/>
    </font>
    <font>
      <b/>
      <sz val="11"/>
      <name val="Calibri"/>
      <family val="2"/>
      <scheme val="minor"/>
    </font>
    <font>
      <sz val="11"/>
      <color theme="9"/>
      <name val="Calibri"/>
      <family val="2"/>
      <scheme val="minor"/>
    </font>
    <font>
      <i/>
      <sz val="10"/>
      <color rgb="FFFF0000"/>
      <name val="Calibri"/>
      <family val="2"/>
      <scheme val="minor"/>
    </font>
    <font>
      <i/>
      <sz val="11"/>
      <color rgb="FFFF0000"/>
      <name val="Calibri"/>
      <family val="2"/>
      <scheme val="minor"/>
    </font>
  </fonts>
  <fills count="40">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6"/>
      </patternFill>
    </fill>
    <fill>
      <patternFill patternType="solid">
        <fgColor theme="5" tint="0.59999389629810485"/>
        <bgColor indexed="64"/>
      </patternFill>
    </fill>
    <fill>
      <patternFill patternType="solid">
        <fgColor theme="4"/>
      </patternFill>
    </fill>
    <fill>
      <patternFill patternType="solid">
        <fgColor theme="4"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
      <patternFill patternType="solid">
        <fgColor rgb="FFFFFF93"/>
        <bgColor indexed="64"/>
      </patternFill>
    </fill>
    <fill>
      <patternFill patternType="solid">
        <fgColor theme="3" tint="0.59999389629810485"/>
        <bgColor indexed="64"/>
      </patternFill>
    </fill>
    <fill>
      <patternFill patternType="solid">
        <fgColor indexed="9"/>
        <bgColor indexed="64"/>
      </patternFill>
    </fill>
    <fill>
      <patternFill patternType="solid">
        <fgColor theme="5" tint="0.39997558519241921"/>
        <bgColor indexed="64"/>
      </patternFill>
    </fill>
    <fill>
      <patternFill patternType="solid">
        <fgColor theme="6"/>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FFCC"/>
        <bgColor indexed="64"/>
      </patternFill>
    </fill>
    <fill>
      <patternFill patternType="solid">
        <fgColor rgb="FF918E00"/>
        <bgColor indexed="64"/>
      </patternFill>
    </fill>
    <fill>
      <patternFill patternType="solid">
        <fgColor rgb="FFFFFF00"/>
        <bgColor indexed="64"/>
      </patternFill>
    </fill>
  </fills>
  <borders count="15">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13" fillId="16" borderId="0">
      <protection locked="0"/>
    </xf>
    <xf numFmtId="9" fontId="1" fillId="0" borderId="0" applyFont="0" applyFill="0" applyBorder="0" applyAlignment="0" applyProtection="0"/>
    <xf numFmtId="0" fontId="18" fillId="22" borderId="5">
      <alignment horizontal="left" vertical="center" wrapText="1"/>
    </xf>
    <xf numFmtId="0" fontId="2" fillId="23" borderId="0" applyNumberFormat="0" applyBorder="0" applyAlignment="0" applyProtection="0"/>
    <xf numFmtId="0" fontId="20" fillId="0" borderId="0" applyNumberFormat="0" applyFill="0" applyBorder="0" applyAlignment="0" applyProtection="0"/>
    <xf numFmtId="0" fontId="2" fillId="25" borderId="0" applyNumberFormat="0" applyBorder="0" applyAlignment="0" applyProtection="0"/>
    <xf numFmtId="0" fontId="1" fillId="26" borderId="0" applyNumberFormat="0" applyBorder="0" applyAlignment="0" applyProtection="0"/>
    <xf numFmtId="0" fontId="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0" borderId="0" applyNumberFormat="0" applyFill="0" applyBorder="0" applyAlignment="0" applyProtection="0"/>
    <xf numFmtId="4" fontId="13" fillId="32" borderId="14"/>
  </cellStyleXfs>
  <cellXfs count="302">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0" fillId="0" borderId="0" xfId="0" applyAlignment="1">
      <alignment wrapText="1"/>
    </xf>
    <xf numFmtId="0" fontId="6" fillId="8" borderId="0" xfId="0" applyFont="1" applyFill="1" applyAlignment="1">
      <alignment horizontal="center" vertical="center" wrapText="1" readingOrder="1"/>
    </xf>
    <xf numFmtId="0" fontId="4" fillId="0" borderId="0" xfId="0" applyFont="1"/>
    <xf numFmtId="0" fontId="3" fillId="0" borderId="0" xfId="0" applyFont="1" applyAlignment="1">
      <alignment horizontal="left" vertical="center" readingOrder="1"/>
    </xf>
    <xf numFmtId="166" fontId="9" fillId="0" borderId="0" xfId="2" applyNumberFormat="1" applyFont="1" applyBorder="1" applyAlignment="1">
      <alignment horizontal="center"/>
    </xf>
    <xf numFmtId="0" fontId="2" fillId="9" borderId="0" xfId="0" applyFont="1" applyFill="1"/>
    <xf numFmtId="0" fontId="2" fillId="9" borderId="0" xfId="0" applyFont="1" applyFill="1" applyAlignment="1">
      <alignment horizontal="center"/>
    </xf>
    <xf numFmtId="164" fontId="0" fillId="0" borderId="0" xfId="1" applyNumberFormat="1" applyFont="1" applyBorder="1" applyAlignment="1"/>
    <xf numFmtId="165" fontId="0" fillId="0" borderId="0" xfId="2" applyNumberFormat="1" applyFont="1" applyBorder="1" applyAlignment="1"/>
    <xf numFmtId="164" fontId="0" fillId="0" borderId="1" xfId="1" applyNumberFormat="1" applyFont="1" applyBorder="1" applyAlignment="1"/>
    <xf numFmtId="165" fontId="0" fillId="0" borderId="1" xfId="0" applyNumberFormat="1" applyBorder="1"/>
    <xf numFmtId="167" fontId="0" fillId="0" borderId="0" xfId="0" applyNumberFormat="1" applyAlignment="1">
      <alignment horizontal="left"/>
    </xf>
    <xf numFmtId="0" fontId="12" fillId="0" borderId="0" xfId="0" applyFont="1"/>
    <xf numFmtId="164" fontId="0" fillId="0" borderId="0" xfId="1" applyNumberFormat="1" applyFont="1"/>
    <xf numFmtId="0" fontId="0" fillId="0" borderId="0" xfId="0" applyAlignment="1">
      <alignment horizontal="left" indent="1"/>
    </xf>
    <xf numFmtId="164" fontId="2" fillId="6" borderId="0" xfId="4" applyNumberFormat="1" applyFont="1" applyFill="1"/>
    <xf numFmtId="164" fontId="6" fillId="6" borderId="0" xfId="4" applyNumberFormat="1" applyFont="1" applyFill="1"/>
    <xf numFmtId="0" fontId="0" fillId="0" borderId="0" xfId="0" pivotButton="1"/>
    <xf numFmtId="0" fontId="0" fillId="0" borderId="0" xfId="0" applyAlignment="1">
      <alignment horizontal="left"/>
    </xf>
    <xf numFmtId="168" fontId="2" fillId="10" borderId="0" xfId="4" applyNumberFormat="1" applyFont="1" applyFill="1" applyAlignment="1">
      <alignment horizontal="center" wrapText="1"/>
    </xf>
    <xf numFmtId="168" fontId="2" fillId="8" borderId="0" xfId="4" applyNumberFormat="1" applyFont="1" applyFill="1" applyAlignment="1">
      <alignment horizontal="center" wrapText="1"/>
    </xf>
    <xf numFmtId="0" fontId="12" fillId="0" borderId="0" xfId="0" applyFont="1" applyAlignment="1">
      <alignment horizontal="center"/>
    </xf>
    <xf numFmtId="165" fontId="12" fillId="0" borderId="0" xfId="2" applyNumberFormat="1" applyFont="1"/>
    <xf numFmtId="165" fontId="12" fillId="0" borderId="2" xfId="2" applyNumberFormat="1" applyFont="1" applyBorder="1"/>
    <xf numFmtId="0" fontId="12" fillId="0" borderId="0" xfId="0" applyFont="1" applyAlignment="1">
      <alignment horizontal="left" indent="1"/>
    </xf>
    <xf numFmtId="14" fontId="0" fillId="0" borderId="0" xfId="0" applyNumberFormat="1"/>
    <xf numFmtId="14" fontId="0" fillId="0" borderId="0" xfId="0" applyNumberFormat="1" applyAlignment="1">
      <alignment wrapText="1"/>
    </xf>
    <xf numFmtId="165" fontId="0" fillId="0" borderId="0" xfId="0" applyNumberFormat="1"/>
    <xf numFmtId="0" fontId="6" fillId="8" borderId="0" xfId="0" applyFont="1" applyFill="1" applyAlignment="1">
      <alignment horizontal="center" vertical="center" readingOrder="1"/>
    </xf>
    <xf numFmtId="0" fontId="6" fillId="8" borderId="0" xfId="0" applyFont="1" applyFill="1" applyAlignment="1">
      <alignment horizontal="center" readingOrder="1"/>
    </xf>
    <xf numFmtId="0" fontId="6" fillId="8" borderId="0" xfId="0" applyFont="1" applyFill="1" applyAlignment="1">
      <alignment horizontal="left" readingOrder="1"/>
    </xf>
    <xf numFmtId="0" fontId="6" fillId="6" borderId="0" xfId="0" applyFont="1" applyFill="1" applyAlignment="1">
      <alignment horizontal="center" readingOrder="1"/>
    </xf>
    <xf numFmtId="44" fontId="3" fillId="5" borderId="0" xfId="2" applyFont="1" applyFill="1" applyBorder="1" applyAlignment="1">
      <alignment horizontal="right" vertical="center" readingOrder="1"/>
    </xf>
    <xf numFmtId="0" fontId="6" fillId="15" borderId="0" xfId="5" applyFont="1"/>
    <xf numFmtId="44" fontId="0" fillId="0" borderId="0" xfId="2" applyFont="1"/>
    <xf numFmtId="44" fontId="0" fillId="0" borderId="0" xfId="0" applyNumberFormat="1"/>
    <xf numFmtId="44" fontId="0" fillId="0" borderId="2" xfId="0" applyNumberFormat="1" applyBorder="1"/>
    <xf numFmtId="44" fontId="4" fillId="0" borderId="0" xfId="0" applyNumberFormat="1" applyFont="1"/>
    <xf numFmtId="0" fontId="14" fillId="0" borderId="0" xfId="0" applyFont="1"/>
    <xf numFmtId="0" fontId="0" fillId="0" borderId="3" xfId="0" applyBorder="1" applyAlignment="1">
      <alignment horizontal="left" indent="1"/>
    </xf>
    <xf numFmtId="44" fontId="0" fillId="0" borderId="3" xfId="2" applyFont="1" applyBorder="1"/>
    <xf numFmtId="0" fontId="4" fillId="17" borderId="0" xfId="0" applyFont="1" applyFill="1"/>
    <xf numFmtId="44" fontId="4" fillId="17" borderId="0" xfId="2" applyFont="1" applyFill="1"/>
    <xf numFmtId="0" fontId="0" fillId="18" borderId="0" xfId="0" applyFill="1"/>
    <xf numFmtId="44" fontId="0" fillId="18" borderId="0" xfId="2" applyFont="1" applyFill="1"/>
    <xf numFmtId="0" fontId="0" fillId="4" borderId="0" xfId="0" applyFill="1"/>
    <xf numFmtId="44" fontId="0" fillId="4" borderId="0" xfId="2" applyFont="1" applyFill="1"/>
    <xf numFmtId="0" fontId="0" fillId="0" borderId="0" xfId="0" applyAlignment="1">
      <alignment horizontal="center"/>
    </xf>
    <xf numFmtId="165" fontId="6" fillId="8" borderId="0" xfId="4" applyNumberFormat="1" applyFont="1" applyFill="1"/>
    <xf numFmtId="165" fontId="6" fillId="10" borderId="0" xfId="4" applyNumberFormat="1" applyFont="1" applyFill="1"/>
    <xf numFmtId="165" fontId="6" fillId="6" borderId="0" xfId="4" applyNumberFormat="1" applyFont="1" applyFill="1"/>
    <xf numFmtId="164" fontId="2" fillId="6" borderId="0" xfId="4" applyNumberFormat="1" applyFont="1" applyFill="1" applyAlignment="1">
      <alignment wrapText="1"/>
    </xf>
    <xf numFmtId="164" fontId="2" fillId="6" borderId="0" xfId="4" applyNumberFormat="1" applyFont="1" applyFill="1" applyAlignment="1">
      <alignment horizontal="center" wrapText="1"/>
    </xf>
    <xf numFmtId="0" fontId="0" fillId="0" borderId="0" xfId="0" quotePrefix="1" applyAlignment="1">
      <alignment horizontal="center"/>
    </xf>
    <xf numFmtId="44" fontId="0" fillId="0" borderId="0" xfId="2" applyFont="1" applyBorder="1" applyAlignment="1">
      <alignment wrapText="1"/>
    </xf>
    <xf numFmtId="44" fontId="2" fillId="10" borderId="0" xfId="2" applyFont="1" applyFill="1" applyAlignment="1">
      <alignment horizontal="center" wrapText="1"/>
    </xf>
    <xf numFmtId="44" fontId="2" fillId="8" borderId="0" xfId="2" applyFont="1" applyFill="1" applyAlignment="1">
      <alignment horizontal="center" wrapText="1"/>
    </xf>
    <xf numFmtId="44" fontId="0" fillId="11" borderId="0" xfId="2" applyFont="1" applyFill="1"/>
    <xf numFmtId="44" fontId="12" fillId="0" borderId="0" xfId="2" applyFont="1"/>
    <xf numFmtId="165" fontId="2" fillId="19" borderId="1" xfId="0" applyNumberFormat="1" applyFont="1" applyFill="1" applyBorder="1"/>
    <xf numFmtId="44" fontId="4" fillId="0" borderId="0" xfId="2" applyFont="1"/>
    <xf numFmtId="9" fontId="0" fillId="0" borderId="0" xfId="7" applyFont="1"/>
    <xf numFmtId="0" fontId="0" fillId="0" borderId="4" xfId="0" applyBorder="1" applyAlignment="1">
      <alignment horizontal="center"/>
    </xf>
    <xf numFmtId="44" fontId="12" fillId="0" borderId="0" xfId="0" applyNumberFormat="1" applyFont="1"/>
    <xf numFmtId="165" fontId="6" fillId="10" borderId="0" xfId="2" applyNumberFormat="1" applyFont="1" applyFill="1"/>
    <xf numFmtId="165" fontId="6" fillId="8" borderId="0" xfId="2" applyNumberFormat="1" applyFont="1" applyFill="1"/>
    <xf numFmtId="0" fontId="15" fillId="0" borderId="0" xfId="0" quotePrefix="1" applyFont="1"/>
    <xf numFmtId="0" fontId="4"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14" fontId="0" fillId="0" borderId="0" xfId="0" applyNumberFormat="1" applyAlignment="1">
      <alignment vertical="center"/>
    </xf>
    <xf numFmtId="167" fontId="0" fillId="0" borderId="0" xfId="0" applyNumberFormat="1" applyAlignment="1">
      <alignment vertical="center"/>
    </xf>
    <xf numFmtId="0" fontId="6" fillId="8" borderId="0" xfId="0" applyFont="1" applyFill="1" applyAlignment="1">
      <alignment horizontal="left" vertical="center" wrapText="1" readingOrder="1"/>
    </xf>
    <xf numFmtId="0" fontId="0" fillId="0" borderId="1" xfId="0" applyBorder="1" applyAlignment="1">
      <alignment vertical="center"/>
    </xf>
    <xf numFmtId="0" fontId="4" fillId="0" borderId="1" xfId="0" applyFont="1" applyBorder="1" applyAlignment="1">
      <alignment vertical="center"/>
    </xf>
    <xf numFmtId="0" fontId="16" fillId="0" borderId="0" xfId="0" applyFont="1"/>
    <xf numFmtId="14" fontId="16" fillId="0" borderId="0" xfId="0" applyNumberFormat="1" applyFont="1"/>
    <xf numFmtId="0" fontId="17" fillId="0" borderId="0" xfId="0" applyFont="1"/>
    <xf numFmtId="166" fontId="0" fillId="0" borderId="0" xfId="0" applyNumberFormat="1"/>
    <xf numFmtId="0" fontId="11" fillId="0" borderId="0" xfId="0" applyFont="1" applyAlignment="1">
      <alignment vertical="center"/>
    </xf>
    <xf numFmtId="44" fontId="3" fillId="0" borderId="0" xfId="2" applyFont="1" applyFill="1" applyBorder="1" applyAlignment="1">
      <alignment horizontal="right" vertical="center" readingOrder="1"/>
    </xf>
    <xf numFmtId="0" fontId="3" fillId="0" borderId="0" xfId="0" applyFont="1" applyAlignment="1">
      <alignment vertical="center"/>
    </xf>
    <xf numFmtId="0" fontId="3" fillId="0" borderId="6" xfId="0" applyFont="1" applyBorder="1" applyAlignment="1">
      <alignment horizontal="left" vertical="center" readingOrder="1"/>
    </xf>
    <xf numFmtId="0" fontId="3" fillId="14" borderId="6" xfId="0" applyFont="1" applyFill="1" applyBorder="1" applyAlignment="1">
      <alignment horizontal="left" vertical="center" readingOrder="1"/>
    </xf>
    <xf numFmtId="0" fontId="10" fillId="0" borderId="6" xfId="0" applyFont="1" applyBorder="1" applyAlignment="1">
      <alignment vertical="center"/>
    </xf>
    <xf numFmtId="0" fontId="0" fillId="14" borderId="1" xfId="0" applyFill="1" applyBorder="1" applyAlignment="1">
      <alignment vertical="center"/>
    </xf>
    <xf numFmtId="0" fontId="0" fillId="0" borderId="0" xfId="0" applyAlignment="1">
      <alignment horizontal="left" vertical="center"/>
    </xf>
    <xf numFmtId="0" fontId="19" fillId="0" borderId="0" xfId="0" applyFont="1"/>
    <xf numFmtId="44" fontId="12" fillId="0" borderId="0" xfId="2" applyFont="1" applyFill="1"/>
    <xf numFmtId="44" fontId="0" fillId="0" borderId="0" xfId="2" applyFont="1" applyFill="1"/>
    <xf numFmtId="44" fontId="1" fillId="0" borderId="0" xfId="2" applyFont="1" applyFill="1"/>
    <xf numFmtId="164" fontId="0" fillId="0" borderId="0" xfId="1" applyNumberFormat="1" applyFont="1" applyBorder="1" applyAlignment="1">
      <alignment vertical="center"/>
    </xf>
    <xf numFmtId="164" fontId="6" fillId="13" borderId="0" xfId="1" applyNumberFormat="1" applyFont="1" applyFill="1" applyBorder="1" applyAlignment="1">
      <alignment horizontal="center" vertical="center" wrapText="1" readingOrder="1"/>
    </xf>
    <xf numFmtId="164" fontId="6" fillId="8" borderId="0" xfId="1" applyNumberFormat="1" applyFont="1" applyFill="1" applyBorder="1" applyAlignment="1">
      <alignment horizontal="center" vertical="center" wrapText="1" readingOrder="1"/>
    </xf>
    <xf numFmtId="164" fontId="6" fillId="10" borderId="0" xfId="1" applyNumberFormat="1" applyFont="1" applyFill="1" applyBorder="1" applyAlignment="1">
      <alignment horizontal="center" vertical="center" wrapText="1" readingOrder="1"/>
    </xf>
    <xf numFmtId="164" fontId="3" fillId="21" borderId="6" xfId="1" applyNumberFormat="1" applyFont="1" applyFill="1" applyBorder="1" applyAlignment="1">
      <alignment horizontal="right" vertical="center" readingOrder="1"/>
    </xf>
    <xf numFmtId="164" fontId="3" fillId="7" borderId="6" xfId="1" applyNumberFormat="1" applyFont="1" applyFill="1" applyBorder="1" applyAlignment="1">
      <alignment horizontal="right" vertical="center" readingOrder="1"/>
    </xf>
    <xf numFmtId="164" fontId="3" fillId="20" borderId="6" xfId="1" applyNumberFormat="1" applyFont="1" applyFill="1" applyBorder="1" applyAlignment="1">
      <alignment horizontal="right" vertical="center" readingOrder="1"/>
    </xf>
    <xf numFmtId="164" fontId="4" fillId="21" borderId="1" xfId="1" applyNumberFormat="1" applyFont="1" applyFill="1" applyBorder="1" applyAlignment="1">
      <alignment vertical="center"/>
    </xf>
    <xf numFmtId="164" fontId="4" fillId="7" borderId="1" xfId="1" applyNumberFormat="1" applyFont="1" applyFill="1" applyBorder="1" applyAlignment="1">
      <alignment vertical="center"/>
    </xf>
    <xf numFmtId="164" fontId="8" fillId="20" borderId="1" xfId="1" applyNumberFormat="1" applyFont="1" applyFill="1" applyBorder="1" applyAlignment="1">
      <alignment horizontal="right" vertical="center" readingOrder="1"/>
    </xf>
    <xf numFmtId="164" fontId="17" fillId="0" borderId="0" xfId="1" applyNumberFormat="1" applyFont="1" applyBorder="1" applyAlignment="1">
      <alignment vertical="center"/>
    </xf>
    <xf numFmtId="164" fontId="6" fillId="6" borderId="0" xfId="1" applyNumberFormat="1" applyFont="1" applyFill="1" applyBorder="1" applyAlignment="1">
      <alignment horizontal="center" vertical="center" wrapText="1" readingOrder="1"/>
    </xf>
    <xf numFmtId="164" fontId="3" fillId="17" borderId="6" xfId="1" applyNumberFormat="1" applyFont="1" applyFill="1" applyBorder="1" applyAlignment="1">
      <alignment horizontal="right" vertical="center" readingOrder="1"/>
    </xf>
    <xf numFmtId="164" fontId="8" fillId="17" borderId="1" xfId="1" applyNumberFormat="1" applyFont="1" applyFill="1" applyBorder="1" applyAlignment="1">
      <alignment horizontal="right" vertical="center" readingOrder="1"/>
    </xf>
    <xf numFmtId="44" fontId="2" fillId="13" borderId="0" xfId="2" applyFont="1" applyFill="1" applyAlignment="1">
      <alignment horizontal="center" wrapText="1"/>
    </xf>
    <xf numFmtId="165" fontId="0" fillId="21" borderId="0" xfId="2" applyNumberFormat="1" applyFont="1" applyFill="1" applyAlignment="1">
      <alignment horizontal="right"/>
    </xf>
    <xf numFmtId="165" fontId="6" fillId="13" borderId="0" xfId="2" applyNumberFormat="1" applyFont="1" applyFill="1"/>
    <xf numFmtId="168" fontId="2" fillId="6" borderId="0" xfId="4" applyNumberFormat="1" applyFont="1" applyFill="1" applyAlignment="1">
      <alignment horizontal="center" wrapText="1"/>
    </xf>
    <xf numFmtId="168" fontId="2" fillId="13" borderId="0" xfId="4" applyNumberFormat="1" applyFont="1" applyFill="1" applyAlignment="1">
      <alignment horizontal="center" wrapText="1"/>
    </xf>
    <xf numFmtId="165" fontId="6" fillId="13" borderId="0" xfId="4" applyNumberFormat="1" applyFont="1" applyFill="1"/>
    <xf numFmtId="165" fontId="0" fillId="21" borderId="0" xfId="2" applyNumberFormat="1" applyFont="1" applyFill="1"/>
    <xf numFmtId="164" fontId="0" fillId="21" borderId="0" xfId="1" applyNumberFormat="1" applyFont="1" applyFill="1"/>
    <xf numFmtId="168" fontId="2" fillId="6" borderId="7" xfId="4" applyNumberFormat="1" applyFont="1" applyFill="1" applyBorder="1" applyAlignment="1">
      <alignment horizontal="center" wrapText="1"/>
    </xf>
    <xf numFmtId="168" fontId="2" fillId="10" borderId="8" xfId="4" applyNumberFormat="1" applyFont="1" applyFill="1" applyBorder="1" applyAlignment="1">
      <alignment horizontal="center" wrapText="1"/>
    </xf>
    <xf numFmtId="168" fontId="2" fillId="13" borderId="8" xfId="4" applyNumberFormat="1" applyFont="1" applyFill="1" applyBorder="1" applyAlignment="1">
      <alignment horizontal="center"/>
    </xf>
    <xf numFmtId="168" fontId="2" fillId="8" borderId="9" xfId="4" applyNumberFormat="1" applyFont="1" applyFill="1" applyBorder="1" applyAlignment="1">
      <alignment horizontal="center" wrapText="1"/>
    </xf>
    <xf numFmtId="168" fontId="0" fillId="5" borderId="10" xfId="2" applyNumberFormat="1" applyFont="1" applyFill="1" applyBorder="1"/>
    <xf numFmtId="168" fontId="0" fillId="11" borderId="0" xfId="2" applyNumberFormat="1" applyFont="1" applyFill="1" applyBorder="1"/>
    <xf numFmtId="168" fontId="0" fillId="14" borderId="0" xfId="2" applyNumberFormat="1" applyFont="1" applyFill="1" applyBorder="1"/>
    <xf numFmtId="168" fontId="0" fillId="7" borderId="11" xfId="2" applyNumberFormat="1" applyFont="1" applyFill="1" applyBorder="1"/>
    <xf numFmtId="168" fontId="6" fillId="6" borderId="12" xfId="4" applyNumberFormat="1" applyFont="1" applyFill="1" applyBorder="1"/>
    <xf numFmtId="168" fontId="6" fillId="10" borderId="4" xfId="4" applyNumberFormat="1" applyFont="1" applyFill="1" applyBorder="1"/>
    <xf numFmtId="168" fontId="6" fillId="13" borderId="4" xfId="4" applyNumberFormat="1" applyFont="1" applyFill="1" applyBorder="1"/>
    <xf numFmtId="168" fontId="6" fillId="8" borderId="13" xfId="4" applyNumberFormat="1" applyFont="1" applyFill="1" applyBorder="1"/>
    <xf numFmtId="165" fontId="0" fillId="0" borderId="0" xfId="2" applyNumberFormat="1" applyFont="1"/>
    <xf numFmtId="164" fontId="12" fillId="0" borderId="0" xfId="1" applyNumberFormat="1" applyFont="1" applyBorder="1" applyAlignment="1">
      <alignment vertical="center"/>
    </xf>
    <xf numFmtId="0" fontId="12" fillId="0" borderId="2" xfId="0" applyFont="1" applyBorder="1"/>
    <xf numFmtId="0" fontId="0" fillId="0" borderId="2" xfId="0" applyBorder="1"/>
    <xf numFmtId="44" fontId="12" fillId="0" borderId="2" xfId="0" applyNumberFormat="1" applyFont="1" applyBorder="1"/>
    <xf numFmtId="0" fontId="6" fillId="6" borderId="0" xfId="9" applyFont="1" applyFill="1"/>
    <xf numFmtId="44" fontId="6" fillId="6" borderId="0" xfId="9" applyNumberFormat="1" applyFont="1" applyFill="1"/>
    <xf numFmtId="0" fontId="20" fillId="0" borderId="0" xfId="10" quotePrefix="1"/>
    <xf numFmtId="0" fontId="20" fillId="0" borderId="0" xfId="10" quotePrefix="1" applyAlignment="1">
      <alignment vertical="center"/>
    </xf>
    <xf numFmtId="164" fontId="6" fillId="9" borderId="0" xfId="1" applyNumberFormat="1" applyFont="1" applyFill="1" applyBorder="1" applyAlignment="1">
      <alignment horizontal="center" vertical="center" wrapText="1" readingOrder="1"/>
    </xf>
    <xf numFmtId="164" fontId="3" fillId="24" borderId="6" xfId="1" applyNumberFormat="1" applyFont="1" applyFill="1" applyBorder="1" applyAlignment="1">
      <alignment horizontal="right" vertical="center" readingOrder="1"/>
    </xf>
    <xf numFmtId="164" fontId="8" fillId="24" borderId="1" xfId="1" applyNumberFormat="1" applyFont="1" applyFill="1" applyBorder="1" applyAlignment="1">
      <alignment horizontal="right" vertical="center" readingOrder="1"/>
    </xf>
    <xf numFmtId="0" fontId="21" fillId="0" borderId="0" xfId="0" applyFont="1" applyAlignment="1">
      <alignment horizontal="left" vertical="center" indent="1"/>
    </xf>
    <xf numFmtId="164" fontId="0" fillId="0" borderId="0" xfId="0" applyNumberFormat="1"/>
    <xf numFmtId="0" fontId="1" fillId="28" borderId="0" xfId="14"/>
    <xf numFmtId="164" fontId="1" fillId="28" borderId="0" xfId="14" applyNumberFormat="1"/>
    <xf numFmtId="164" fontId="2" fillId="27" borderId="0" xfId="13" applyNumberFormat="1"/>
    <xf numFmtId="0" fontId="1" fillId="29" borderId="0" xfId="15"/>
    <xf numFmtId="164" fontId="1" fillId="29" borderId="0" xfId="15" applyNumberFormat="1"/>
    <xf numFmtId="164" fontId="2" fillId="2" borderId="0" xfId="3" applyNumberFormat="1"/>
    <xf numFmtId="164" fontId="0" fillId="0" borderId="0" xfId="1" applyNumberFormat="1" applyFont="1" applyAlignment="1">
      <alignment horizontal="right"/>
    </xf>
    <xf numFmtId="164" fontId="0" fillId="0" borderId="0" xfId="0" applyNumberFormat="1" applyAlignment="1">
      <alignment horizontal="right"/>
    </xf>
    <xf numFmtId="164" fontId="2" fillId="25" borderId="0" xfId="11" applyNumberFormat="1"/>
    <xf numFmtId="0" fontId="1" fillId="26" borderId="0" xfId="12"/>
    <xf numFmtId="164" fontId="1" fillId="26" borderId="0" xfId="12" applyNumberFormat="1"/>
    <xf numFmtId="0" fontId="2" fillId="27" borderId="0" xfId="13" applyAlignment="1">
      <alignment horizontal="center"/>
    </xf>
    <xf numFmtId="0" fontId="2" fillId="2" borderId="0" xfId="3" applyAlignment="1">
      <alignment horizontal="center"/>
    </xf>
    <xf numFmtId="0" fontId="2" fillId="25" borderId="0" xfId="11" applyAlignment="1">
      <alignment horizontal="center"/>
    </xf>
    <xf numFmtId="0" fontId="24" fillId="0" borderId="0" xfId="16" applyFont="1"/>
    <xf numFmtId="0" fontId="0" fillId="29" borderId="0" xfId="15" applyFont="1" applyAlignment="1">
      <alignment horizontal="center"/>
    </xf>
    <xf numFmtId="0" fontId="1" fillId="29" borderId="0" xfId="15" applyAlignment="1">
      <alignment horizontal="center"/>
    </xf>
    <xf numFmtId="0" fontId="1" fillId="28" borderId="0" xfId="14" applyAlignment="1">
      <alignment horizontal="center"/>
    </xf>
    <xf numFmtId="0" fontId="0" fillId="28" borderId="0" xfId="14" applyFont="1" applyAlignment="1">
      <alignment horizontal="center"/>
    </xf>
    <xf numFmtId="0" fontId="1" fillId="26" borderId="0" xfId="12" applyAlignment="1">
      <alignment horizontal="center"/>
    </xf>
    <xf numFmtId="0" fontId="0" fillId="26" borderId="0" xfId="12" applyFont="1" applyAlignment="1">
      <alignment horizontal="center"/>
    </xf>
    <xf numFmtId="0" fontId="0" fillId="5" borderId="0" xfId="0" applyFill="1"/>
    <xf numFmtId="0" fontId="0" fillId="7" borderId="0" xfId="0" applyFill="1"/>
    <xf numFmtId="0" fontId="0" fillId="11" borderId="0" xfId="0" applyFill="1"/>
    <xf numFmtId="0" fontId="6" fillId="10" borderId="0" xfId="0" applyFont="1" applyFill="1" applyAlignment="1">
      <alignment horizontal="center" readingOrder="1"/>
    </xf>
    <xf numFmtId="44" fontId="3" fillId="11" borderId="0" xfId="2" applyFont="1" applyFill="1" applyBorder="1" applyAlignment="1">
      <alignment horizontal="right" vertical="center" readingOrder="1"/>
    </xf>
    <xf numFmtId="165" fontId="12" fillId="0" borderId="0" xfId="0" applyNumberFormat="1" applyFont="1"/>
    <xf numFmtId="164" fontId="20" fillId="0" borderId="0" xfId="10" quotePrefix="1" applyNumberFormat="1" applyBorder="1" applyAlignment="1">
      <alignment vertical="center"/>
    </xf>
    <xf numFmtId="0" fontId="25" fillId="0" borderId="6" xfId="10" applyFont="1" applyBorder="1" applyAlignment="1">
      <alignment horizontal="left" vertical="center" readingOrder="1"/>
    </xf>
    <xf numFmtId="0" fontId="20" fillId="0" borderId="6" xfId="10" applyBorder="1" applyAlignment="1">
      <alignment horizontal="left" vertical="center" readingOrder="1"/>
    </xf>
    <xf numFmtId="169" fontId="0" fillId="0" borderId="0" xfId="1" applyNumberFormat="1" applyFont="1"/>
    <xf numFmtId="0" fontId="0" fillId="0" borderId="0" xfId="0" applyAlignment="1">
      <alignment horizontal="left" indent="2"/>
    </xf>
    <xf numFmtId="164" fontId="2" fillId="3" borderId="0" xfId="11" applyNumberFormat="1" applyFill="1"/>
    <xf numFmtId="0" fontId="2" fillId="3" borderId="0" xfId="11" applyFill="1" applyAlignment="1">
      <alignment horizontal="center"/>
    </xf>
    <xf numFmtId="0" fontId="0" fillId="31" borderId="0" xfId="12" applyFont="1" applyFill="1" applyAlignment="1">
      <alignment horizontal="center"/>
    </xf>
    <xf numFmtId="0" fontId="1" fillId="31" borderId="0" xfId="12" applyFill="1"/>
    <xf numFmtId="164" fontId="1" fillId="31" borderId="0" xfId="12" applyNumberFormat="1" applyFill="1"/>
    <xf numFmtId="0" fontId="1" fillId="31" borderId="0" xfId="12" applyFill="1" applyAlignment="1">
      <alignment horizontal="center"/>
    </xf>
    <xf numFmtId="164" fontId="0" fillId="0" borderId="0" xfId="1" applyNumberFormat="1" applyFont="1" applyFill="1" applyAlignment="1">
      <alignment horizontal="right"/>
    </xf>
    <xf numFmtId="0" fontId="26" fillId="0" borderId="0" xfId="0" applyFont="1" applyAlignment="1">
      <alignment horizontal="center" vertical="center" wrapText="1"/>
    </xf>
    <xf numFmtId="164" fontId="6" fillId="3" borderId="0" xfId="1" applyNumberFormat="1" applyFont="1" applyFill="1" applyBorder="1" applyAlignment="1">
      <alignment horizontal="center" vertical="center" wrapText="1" readingOrder="1"/>
    </xf>
    <xf numFmtId="164" fontId="3" fillId="4" borderId="6" xfId="1" applyNumberFormat="1" applyFont="1" applyFill="1" applyBorder="1" applyAlignment="1">
      <alignment horizontal="right" vertical="center" readingOrder="1"/>
    </xf>
    <xf numFmtId="164" fontId="8" fillId="4" borderId="1" xfId="1" applyNumberFormat="1" applyFont="1" applyFill="1" applyBorder="1" applyAlignment="1">
      <alignment horizontal="right" vertical="center" readingOrder="1"/>
    </xf>
    <xf numFmtId="0" fontId="27" fillId="0" borderId="6" xfId="0" applyFont="1" applyBorder="1" applyAlignment="1">
      <alignment vertical="center"/>
    </xf>
    <xf numFmtId="0" fontId="28" fillId="0" borderId="6" xfId="0" applyFont="1" applyBorder="1" applyAlignment="1">
      <alignment horizontal="left" vertical="center" readingOrder="1"/>
    </xf>
    <xf numFmtId="0" fontId="29" fillId="0" borderId="6" xfId="10" applyFont="1" applyBorder="1" applyAlignment="1">
      <alignment horizontal="left" vertical="center" readingOrder="1"/>
    </xf>
    <xf numFmtId="0" fontId="28" fillId="14" borderId="6" xfId="0" applyFont="1" applyFill="1" applyBorder="1" applyAlignment="1">
      <alignment horizontal="left" vertical="center" readingOrder="1"/>
    </xf>
    <xf numFmtId="164" fontId="28" fillId="21" borderId="6" xfId="1" applyNumberFormat="1" applyFont="1" applyFill="1" applyBorder="1" applyAlignment="1">
      <alignment horizontal="right" vertical="center" readingOrder="1"/>
    </xf>
    <xf numFmtId="164" fontId="28" fillId="7" borderId="6" xfId="1" applyNumberFormat="1" applyFont="1" applyFill="1" applyBorder="1" applyAlignment="1">
      <alignment horizontal="right" vertical="center" readingOrder="1"/>
    </xf>
    <xf numFmtId="164" fontId="28" fillId="20" borderId="6" xfId="1" applyNumberFormat="1" applyFont="1" applyFill="1" applyBorder="1" applyAlignment="1">
      <alignment horizontal="right" vertical="center" readingOrder="1"/>
    </xf>
    <xf numFmtId="164" fontId="28" fillId="17" borderId="6" xfId="1" applyNumberFormat="1" applyFont="1" applyFill="1" applyBorder="1" applyAlignment="1">
      <alignment horizontal="right" vertical="center" readingOrder="1"/>
    </xf>
    <xf numFmtId="164" fontId="28" fillId="24" borderId="6" xfId="1" applyNumberFormat="1" applyFont="1" applyFill="1" applyBorder="1" applyAlignment="1">
      <alignment horizontal="right" vertical="center" readingOrder="1"/>
    </xf>
    <xf numFmtId="164" fontId="28" fillId="4" borderId="6" xfId="1" applyNumberFormat="1" applyFont="1" applyFill="1" applyBorder="1" applyAlignment="1">
      <alignment horizontal="right" vertical="center" readingOrder="1"/>
    </xf>
    <xf numFmtId="0" fontId="30" fillId="0" borderId="0" xfId="0" applyFont="1"/>
    <xf numFmtId="0" fontId="28" fillId="0" borderId="0" xfId="0" applyFont="1" applyAlignment="1">
      <alignment vertical="center"/>
    </xf>
    <xf numFmtId="0" fontId="31" fillId="0" borderId="6" xfId="10" applyFont="1" applyBorder="1" applyAlignment="1">
      <alignment horizontal="left" vertical="center" readingOrder="1"/>
    </xf>
    <xf numFmtId="14" fontId="0" fillId="0" borderId="0" xfId="0" applyNumberFormat="1" applyAlignment="1">
      <alignment horizontal="left"/>
    </xf>
    <xf numFmtId="0" fontId="0" fillId="0" borderId="3" xfId="0" applyBorder="1" applyAlignment="1">
      <alignment horizontal="center"/>
    </xf>
    <xf numFmtId="164" fontId="3" fillId="0" borderId="0" xfId="1" applyNumberFormat="1" applyFont="1"/>
    <xf numFmtId="0" fontId="0" fillId="0" borderId="0" xfId="0" applyAlignment="1">
      <alignment horizontal="right"/>
    </xf>
    <xf numFmtId="14" fontId="0" fillId="0" borderId="0" xfId="0" applyNumberFormat="1" applyAlignment="1">
      <alignment horizontal="right"/>
    </xf>
    <xf numFmtId="0" fontId="26" fillId="0" borderId="0" xfId="0" applyFont="1" applyAlignment="1">
      <alignment horizontal="center" vertical="center"/>
    </xf>
    <xf numFmtId="164" fontId="0" fillId="0" borderId="2" xfId="1" applyNumberFormat="1" applyFont="1" applyBorder="1"/>
    <xf numFmtId="164" fontId="0" fillId="0" borderId="2" xfId="0" applyNumberFormat="1" applyBorder="1"/>
    <xf numFmtId="164" fontId="0" fillId="30" borderId="0" xfId="0" applyNumberFormat="1" applyFill="1"/>
    <xf numFmtId="0" fontId="12" fillId="0" borderId="0" xfId="0" applyFont="1" applyAlignment="1">
      <alignment horizontal="left" vertical="center" indent="1"/>
    </xf>
    <xf numFmtId="0" fontId="12" fillId="5" borderId="0" xfId="0" applyFont="1" applyFill="1"/>
    <xf numFmtId="0" fontId="12" fillId="5" borderId="0" xfId="0" applyFont="1" applyFill="1" applyAlignment="1">
      <alignment horizontal="center"/>
    </xf>
    <xf numFmtId="0" fontId="32" fillId="0" borderId="0" xfId="0" applyFont="1"/>
    <xf numFmtId="164" fontId="12" fillId="0" borderId="0" xfId="1" applyNumberFormat="1" applyFont="1" applyAlignment="1">
      <alignment horizontal="right"/>
    </xf>
    <xf numFmtId="164" fontId="12" fillId="0" borderId="0" xfId="0" applyNumberFormat="1" applyFont="1" applyAlignment="1">
      <alignment horizontal="right"/>
    </xf>
    <xf numFmtId="164" fontId="12" fillId="5" borderId="0" xfId="0" applyNumberFormat="1" applyFont="1" applyFill="1"/>
    <xf numFmtId="0" fontId="0" fillId="28" borderId="0" xfId="14" applyFont="1"/>
    <xf numFmtId="0" fontId="0" fillId="29" borderId="0" xfId="15" applyFont="1"/>
    <xf numFmtId="0" fontId="0" fillId="26" borderId="0" xfId="12" applyFont="1"/>
    <xf numFmtId="0" fontId="0" fillId="31" borderId="0" xfId="12" applyFont="1" applyFill="1"/>
    <xf numFmtId="164" fontId="33" fillId="0" borderId="0" xfId="1" applyNumberFormat="1" applyFont="1"/>
    <xf numFmtId="169" fontId="12" fillId="0" borderId="0" xfId="0" applyNumberFormat="1" applyFont="1"/>
    <xf numFmtId="3" fontId="0" fillId="0" borderId="0" xfId="0" applyNumberFormat="1" applyAlignment="1">
      <alignment horizontal="right"/>
    </xf>
    <xf numFmtId="164" fontId="12" fillId="11" borderId="0" xfId="0" applyNumberFormat="1" applyFont="1" applyFill="1"/>
    <xf numFmtId="0" fontId="10" fillId="0" borderId="0" xfId="0" applyFont="1"/>
    <xf numFmtId="164" fontId="3" fillId="0" borderId="0" xfId="1" applyNumberFormat="1" applyFont="1" applyAlignment="1">
      <alignment horizontal="right"/>
    </xf>
    <xf numFmtId="0" fontId="3" fillId="11" borderId="0" xfId="0" applyFont="1" applyFill="1"/>
    <xf numFmtId="164" fontId="3" fillId="33" borderId="6" xfId="1" applyNumberFormat="1" applyFont="1" applyFill="1" applyBorder="1" applyAlignment="1">
      <alignment horizontal="right" vertical="center" readingOrder="1"/>
    </xf>
    <xf numFmtId="164" fontId="28" fillId="33" borderId="6" xfId="1" applyNumberFormat="1" applyFont="1" applyFill="1" applyBorder="1" applyAlignment="1">
      <alignment horizontal="right" vertical="center" readingOrder="1"/>
    </xf>
    <xf numFmtId="164" fontId="8" fillId="33" borderId="1" xfId="1" applyNumberFormat="1" applyFont="1" applyFill="1" applyBorder="1" applyAlignment="1">
      <alignment horizontal="right" vertical="center" readingOrder="1"/>
    </xf>
    <xf numFmtId="0" fontId="12" fillId="0" borderId="0" xfId="0" applyFont="1" applyAlignment="1">
      <alignment horizontal="left"/>
    </xf>
    <xf numFmtId="168" fontId="2" fillId="34" borderId="0" xfId="4" applyNumberFormat="1" applyFont="1" applyFill="1" applyAlignment="1">
      <alignment horizontal="center" wrapText="1"/>
    </xf>
    <xf numFmtId="165" fontId="6" fillId="34" borderId="0" xfId="4" applyNumberFormat="1" applyFont="1" applyFill="1"/>
    <xf numFmtId="165" fontId="0" fillId="35" borderId="0" xfId="2" applyNumberFormat="1" applyFont="1" applyFill="1"/>
    <xf numFmtId="164" fontId="0" fillId="35" borderId="0" xfId="1" applyNumberFormat="1" applyFont="1" applyFill="1"/>
    <xf numFmtId="165" fontId="0" fillId="36" borderId="0" xfId="2" applyNumberFormat="1" applyFont="1" applyFill="1"/>
    <xf numFmtId="164" fontId="0" fillId="36" borderId="0" xfId="1" applyNumberFormat="1" applyFont="1" applyFill="1"/>
    <xf numFmtId="165" fontId="0" fillId="20" borderId="0" xfId="2" applyNumberFormat="1" applyFont="1" applyFill="1"/>
    <xf numFmtId="164" fontId="0" fillId="20" borderId="0" xfId="1" applyNumberFormat="1" applyFont="1" applyFill="1"/>
    <xf numFmtId="165" fontId="0" fillId="17" borderId="0" xfId="2" applyNumberFormat="1" applyFont="1" applyFill="1"/>
    <xf numFmtId="164" fontId="0" fillId="17" borderId="0" xfId="1" applyNumberFormat="1" applyFont="1" applyFill="1"/>
    <xf numFmtId="44" fontId="34" fillId="0" borderId="0" xfId="2" quotePrefix="1" applyFont="1" applyAlignment="1">
      <alignment horizontal="center"/>
    </xf>
    <xf numFmtId="165" fontId="0" fillId="36" borderId="0" xfId="2" applyNumberFormat="1" applyFont="1" applyFill="1" applyAlignment="1">
      <alignment horizontal="right"/>
    </xf>
    <xf numFmtId="165" fontId="0" fillId="20" borderId="0" xfId="2" applyNumberFormat="1" applyFont="1" applyFill="1" applyAlignment="1">
      <alignment horizontal="right"/>
    </xf>
    <xf numFmtId="164" fontId="0" fillId="21" borderId="0" xfId="1" applyNumberFormat="1" applyFont="1" applyFill="1" applyAlignment="1">
      <alignment horizontal="right"/>
    </xf>
    <xf numFmtId="164" fontId="0" fillId="20" borderId="0" xfId="1" applyNumberFormat="1" applyFont="1" applyFill="1" applyAlignment="1">
      <alignment horizontal="right"/>
    </xf>
    <xf numFmtId="164" fontId="0" fillId="36" borderId="0" xfId="1" applyNumberFormat="1" applyFont="1" applyFill="1" applyAlignment="1">
      <alignment horizontal="right"/>
    </xf>
    <xf numFmtId="44" fontId="2" fillId="34" borderId="0" xfId="2" applyFont="1" applyFill="1" applyAlignment="1">
      <alignment horizontal="center" wrapText="1"/>
    </xf>
    <xf numFmtId="165" fontId="6" fillId="34" borderId="0" xfId="2" applyNumberFormat="1" applyFont="1" applyFill="1"/>
    <xf numFmtId="165" fontId="0" fillId="35" borderId="0" xfId="2" applyNumberFormat="1" applyFont="1" applyFill="1" applyAlignment="1">
      <alignment horizontal="right"/>
    </xf>
    <xf numFmtId="164" fontId="0" fillId="35" borderId="0" xfId="1" applyNumberFormat="1" applyFont="1" applyFill="1" applyAlignment="1">
      <alignment horizontal="right"/>
    </xf>
    <xf numFmtId="44" fontId="0" fillId="0" borderId="0" xfId="2" applyFont="1" applyBorder="1"/>
    <xf numFmtId="0" fontId="28" fillId="0" borderId="0" xfId="0" applyFont="1" applyAlignment="1">
      <alignment horizontal="left" vertical="center" readingOrder="1"/>
    </xf>
    <xf numFmtId="0" fontId="35" fillId="0" borderId="0" xfId="0" applyFont="1" applyAlignment="1">
      <alignment horizontal="center" vertical="center"/>
    </xf>
    <xf numFmtId="164" fontId="3" fillId="37" borderId="6" xfId="1" applyNumberFormat="1" applyFont="1" applyFill="1" applyBorder="1" applyAlignment="1">
      <alignment horizontal="right" vertical="center" readingOrder="1"/>
    </xf>
    <xf numFmtId="164" fontId="28" fillId="37" borderId="6" xfId="1" applyNumberFormat="1" applyFont="1" applyFill="1" applyBorder="1" applyAlignment="1">
      <alignment horizontal="right" vertical="center" readingOrder="1"/>
    </xf>
    <xf numFmtId="164" fontId="4" fillId="37" borderId="1" xfId="1" applyNumberFormat="1" applyFont="1" applyFill="1" applyBorder="1" applyAlignment="1">
      <alignment vertical="center"/>
    </xf>
    <xf numFmtId="164" fontId="6" fillId="38" borderId="0" xfId="1" applyNumberFormat="1" applyFont="1" applyFill="1" applyBorder="1" applyAlignment="1">
      <alignment horizontal="center" vertical="center" wrapText="1" readingOrder="1"/>
    </xf>
    <xf numFmtId="0" fontId="32" fillId="11" borderId="0" xfId="0" applyFont="1" applyFill="1" applyAlignment="1">
      <alignment horizontal="center"/>
    </xf>
    <xf numFmtId="164" fontId="32" fillId="11" borderId="0" xfId="0" applyNumberFormat="1" applyFont="1" applyFill="1"/>
    <xf numFmtId="164" fontId="2" fillId="10" borderId="0" xfId="11" applyNumberFormat="1" applyFill="1"/>
    <xf numFmtId="164" fontId="36" fillId="10" borderId="0" xfId="0" applyNumberFormat="1" applyFont="1" applyFill="1" applyAlignment="1">
      <alignment horizontal="right"/>
    </xf>
    <xf numFmtId="164" fontId="2" fillId="10" borderId="0" xfId="0" applyNumberFormat="1" applyFont="1" applyFill="1"/>
    <xf numFmtId="0" fontId="2" fillId="10" borderId="0" xfId="12" applyFont="1" applyFill="1" applyAlignment="1">
      <alignment horizontal="center"/>
    </xf>
    <xf numFmtId="164" fontId="36" fillId="10" borderId="0" xfId="0" applyNumberFormat="1" applyFont="1" applyFill="1"/>
    <xf numFmtId="44" fontId="1" fillId="0" borderId="0" xfId="2" applyFont="1"/>
    <xf numFmtId="0" fontId="4" fillId="0" borderId="0" xfId="0" applyFont="1" applyAlignment="1">
      <alignment horizontal="left" indent="1"/>
    </xf>
    <xf numFmtId="14" fontId="4" fillId="0" borderId="0" xfId="0" applyNumberFormat="1" applyFont="1"/>
    <xf numFmtId="44" fontId="4" fillId="0" borderId="0" xfId="2" applyFont="1" applyFill="1"/>
    <xf numFmtId="49" fontId="37" fillId="0" borderId="0" xfId="6" applyFont="1" applyFill="1">
      <protection locked="0"/>
    </xf>
    <xf numFmtId="170" fontId="0" fillId="0" borderId="0" xfId="0" applyNumberFormat="1"/>
    <xf numFmtId="164" fontId="38" fillId="0" borderId="0" xfId="1" applyNumberFormat="1" applyFont="1"/>
    <xf numFmtId="0" fontId="21" fillId="0" borderId="0" xfId="0" applyFont="1"/>
    <xf numFmtId="164" fontId="2" fillId="3" borderId="0" xfId="11" applyNumberFormat="1" applyFill="1" applyAlignment="1">
      <alignment horizontal="center" vertical="center"/>
    </xf>
    <xf numFmtId="0" fontId="22" fillId="3" borderId="0" xfId="3" applyFont="1" applyFill="1" applyAlignment="1">
      <alignment horizontal="center" vertical="center" textRotation="255"/>
    </xf>
    <xf numFmtId="164" fontId="2" fillId="27" borderId="0" xfId="13" applyNumberFormat="1" applyAlignment="1">
      <alignment horizontal="center" vertical="center"/>
    </xf>
    <xf numFmtId="0" fontId="22" fillId="27" borderId="0" xfId="13" applyFont="1" applyAlignment="1">
      <alignment horizontal="center" vertical="center" textRotation="255"/>
    </xf>
    <xf numFmtId="0" fontId="22" fillId="2" borderId="0" xfId="3" applyFont="1" applyAlignment="1">
      <alignment horizontal="center" vertical="center" textRotation="255"/>
    </xf>
    <xf numFmtId="0" fontId="22" fillId="10" borderId="0" xfId="3" applyFont="1" applyFill="1" applyAlignment="1">
      <alignment horizontal="center" vertical="center" textRotation="255"/>
    </xf>
    <xf numFmtId="164" fontId="2" fillId="2" borderId="0" xfId="3" applyNumberFormat="1" applyAlignment="1">
      <alignment horizontal="center" vertical="center"/>
    </xf>
    <xf numFmtId="164" fontId="2" fillId="25" borderId="0" xfId="11" applyNumberFormat="1" applyAlignment="1">
      <alignment horizontal="center" vertical="center"/>
    </xf>
    <xf numFmtId="0" fontId="3" fillId="7" borderId="6" xfId="0" applyFont="1" applyFill="1" applyBorder="1" applyAlignment="1">
      <alignment horizontal="left" vertical="center" readingOrder="1"/>
    </xf>
    <xf numFmtId="0" fontId="28" fillId="7" borderId="6" xfId="0" applyFont="1" applyFill="1" applyBorder="1" applyAlignment="1">
      <alignment horizontal="left" vertical="center" readingOrder="1"/>
    </xf>
    <xf numFmtId="0" fontId="39" fillId="0" borderId="6" xfId="0" applyFont="1" applyBorder="1" applyAlignment="1">
      <alignment vertical="center"/>
    </xf>
    <xf numFmtId="0" fontId="21" fillId="7" borderId="6" xfId="0" applyFont="1" applyFill="1" applyBorder="1" applyAlignment="1">
      <alignment horizontal="left" vertical="center" readingOrder="1"/>
    </xf>
    <xf numFmtId="0" fontId="21" fillId="0" borderId="6" xfId="0" applyFont="1" applyBorder="1" applyAlignment="1">
      <alignment horizontal="left" vertical="center" readingOrder="1"/>
    </xf>
    <xf numFmtId="0" fontId="21" fillId="14" borderId="6" xfId="0" applyFont="1" applyFill="1" applyBorder="1" applyAlignment="1">
      <alignment horizontal="left" vertical="center" readingOrder="1"/>
    </xf>
    <xf numFmtId="164" fontId="21" fillId="21" borderId="6" xfId="1" applyNumberFormat="1" applyFont="1" applyFill="1" applyBorder="1" applyAlignment="1">
      <alignment horizontal="right" vertical="center" readingOrder="1"/>
    </xf>
    <xf numFmtId="164" fontId="21" fillId="7" borderId="6" xfId="1" applyNumberFormat="1" applyFont="1" applyFill="1" applyBorder="1" applyAlignment="1">
      <alignment horizontal="right" vertical="center" readingOrder="1"/>
    </xf>
    <xf numFmtId="164" fontId="21" fillId="37" borderId="6" xfId="1" applyNumberFormat="1" applyFont="1" applyFill="1" applyBorder="1" applyAlignment="1">
      <alignment horizontal="right" vertical="center" readingOrder="1"/>
    </xf>
    <xf numFmtId="0" fontId="21" fillId="0" borderId="0" xfId="0" applyFont="1" applyAlignment="1">
      <alignment vertical="center"/>
    </xf>
    <xf numFmtId="0" fontId="21" fillId="39" borderId="6" xfId="0" applyFont="1" applyFill="1" applyBorder="1" applyAlignment="1">
      <alignment horizontal="left" vertical="center" readingOrder="1"/>
    </xf>
    <xf numFmtId="0" fontId="39" fillId="0" borderId="0" xfId="0" applyFont="1"/>
    <xf numFmtId="164" fontId="21" fillId="0" borderId="0" xfId="1" applyNumberFormat="1" applyFont="1"/>
    <xf numFmtId="164" fontId="21" fillId="0" borderId="0" xfId="1" applyNumberFormat="1" applyFont="1" applyAlignment="1">
      <alignment horizontal="right"/>
    </xf>
    <xf numFmtId="164" fontId="21" fillId="0" borderId="0" xfId="0" applyNumberFormat="1" applyFont="1" applyAlignment="1">
      <alignment horizontal="right"/>
    </xf>
    <xf numFmtId="164" fontId="40" fillId="11" borderId="0" xfId="0" applyNumberFormat="1" applyFont="1" applyFill="1"/>
    <xf numFmtId="164" fontId="40" fillId="10" borderId="0" xfId="0" applyNumberFormat="1" applyFont="1" applyFill="1" applyAlignment="1">
      <alignment horizontal="right"/>
    </xf>
  </cellXfs>
  <cellStyles count="18">
    <cellStyle name="40% - Accent1" xfId="12" builtinId="31"/>
    <cellStyle name="40% - Accent3" xfId="4" builtinId="39"/>
    <cellStyle name="40% - Accent4" xfId="14" builtinId="43"/>
    <cellStyle name="40% - Accent5" xfId="15" builtinId="47"/>
    <cellStyle name="Accent1" xfId="11" builtinId="29"/>
    <cellStyle name="Accent2" xfId="5" builtinId="33"/>
    <cellStyle name="Accent3" xfId="9" builtinId="37"/>
    <cellStyle name="Accent4" xfId="13" builtinId="41"/>
    <cellStyle name="Accent5" xfId="3" builtinId="45"/>
    <cellStyle name="APPS_DEG_Basic_White_Cell_Amount" xfId="17" xr:uid="{7EABB1BF-23AD-4DE9-9EF8-0F50A52DBDC9}"/>
    <cellStyle name="APPS_FormEntry_noborder" xfId="6" xr:uid="{EE5CD5B0-8E1E-4EAB-8BDD-ECDB51721DA7}"/>
    <cellStyle name="Comma" xfId="1" builtinId="3"/>
    <cellStyle name="Currency" xfId="2" builtinId="4"/>
    <cellStyle name="Explanatory Text" xfId="16" builtinId="53"/>
    <cellStyle name="Hyperlink" xfId="10" builtinId="8"/>
    <cellStyle name="Normal" xfId="0" builtinId="0"/>
    <cellStyle name="Percent" xfId="7" builtinId="5"/>
    <cellStyle name="wr_6" xfId="8" xr:uid="{BE1B80FF-AE88-4CBE-B42C-9E9B452B9C7F}"/>
  </cellStyles>
  <dxfs count="5">
    <dxf>
      <fill>
        <patternFill>
          <bgColor rgb="FFFFFFCC"/>
        </patternFill>
      </fill>
    </dxf>
    <dxf>
      <fill>
        <patternFill>
          <bgColor rgb="FFFFFFCC"/>
        </patternFill>
      </fill>
    </dxf>
    <dxf>
      <fill>
        <patternFill>
          <bgColor rgb="FFFFFFCC"/>
        </patternFill>
      </fill>
    </dxf>
    <dxf>
      <alignment horizontal="right"/>
    </dxf>
    <dxf>
      <alignment horizontal="right"/>
    </dxf>
  </dxfs>
  <tableStyles count="0" defaultTableStyle="TableStyleMedium2" defaultPivotStyle="PivotStyleLight16"/>
  <colors>
    <mruColors>
      <color rgb="FFFF66CC"/>
      <color rgb="FFFFCCFF"/>
      <color rgb="FFFFFF93"/>
      <color rgb="FFFFFFCC"/>
      <color rgb="FF918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microsoft.com/office/2007/relationships/slicerCache" Target="slicerCaches/slicerCach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microsoft.com/office/2007/relationships/slicerCache" Target="slicerCaches/slicerCache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pivotCacheDefinition" Target="pivotCache/pivotCacheDefinition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microsoft.com/office/2007/relationships/slicerCache" Target="slicerCaches/slicerCache3.xml"/><Relationship Id="rId75"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microsoft.com/office/2007/relationships/slicerCache" Target="slicerCaches/slicerCache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image" Target="../media/image22.png"/><Relationship Id="rId3" Type="http://schemas.openxmlformats.org/officeDocument/2006/relationships/image" Target="../media/image12.png"/><Relationship Id="rId7" Type="http://schemas.openxmlformats.org/officeDocument/2006/relationships/image" Target="../media/image16.png"/><Relationship Id="rId12" Type="http://schemas.openxmlformats.org/officeDocument/2006/relationships/image" Target="../media/image21.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11" Type="http://schemas.openxmlformats.org/officeDocument/2006/relationships/image" Target="../media/image20.png"/><Relationship Id="rId5" Type="http://schemas.openxmlformats.org/officeDocument/2006/relationships/image" Target="../media/image14.png"/><Relationship Id="rId10" Type="http://schemas.openxmlformats.org/officeDocument/2006/relationships/image" Target="../media/image19.png"/><Relationship Id="rId4" Type="http://schemas.openxmlformats.org/officeDocument/2006/relationships/image" Target="../media/image13.png"/><Relationship Id="rId9"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8" Type="http://schemas.openxmlformats.org/officeDocument/2006/relationships/image" Target="../media/image30.png"/><Relationship Id="rId3" Type="http://schemas.openxmlformats.org/officeDocument/2006/relationships/image" Target="../media/image25.png"/><Relationship Id="rId7" Type="http://schemas.openxmlformats.org/officeDocument/2006/relationships/image" Target="../media/image29.png"/><Relationship Id="rId2" Type="http://schemas.openxmlformats.org/officeDocument/2006/relationships/image" Target="../media/image24.png"/><Relationship Id="rId1" Type="http://schemas.openxmlformats.org/officeDocument/2006/relationships/image" Target="../media/image23.png"/><Relationship Id="rId6" Type="http://schemas.openxmlformats.org/officeDocument/2006/relationships/image" Target="../media/image28.png"/><Relationship Id="rId11" Type="http://schemas.openxmlformats.org/officeDocument/2006/relationships/image" Target="../media/image33.png"/><Relationship Id="rId5" Type="http://schemas.openxmlformats.org/officeDocument/2006/relationships/image" Target="../media/image27.png"/><Relationship Id="rId10" Type="http://schemas.openxmlformats.org/officeDocument/2006/relationships/image" Target="../media/image32.png"/><Relationship Id="rId4" Type="http://schemas.openxmlformats.org/officeDocument/2006/relationships/image" Target="../media/image26.png"/><Relationship Id="rId9" Type="http://schemas.openxmlformats.org/officeDocument/2006/relationships/image" Target="../media/image3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6.png"/><Relationship Id="rId7" Type="http://schemas.openxmlformats.org/officeDocument/2006/relationships/image" Target="../media/image40.png"/><Relationship Id="rId2" Type="http://schemas.openxmlformats.org/officeDocument/2006/relationships/image" Target="../media/image35.png"/><Relationship Id="rId1" Type="http://schemas.openxmlformats.org/officeDocument/2006/relationships/image" Target="../media/image34.png"/><Relationship Id="rId6" Type="http://schemas.openxmlformats.org/officeDocument/2006/relationships/image" Target="../media/image39.png"/><Relationship Id="rId5" Type="http://schemas.openxmlformats.org/officeDocument/2006/relationships/image" Target="../media/image38.png"/><Relationship Id="rId4" Type="http://schemas.openxmlformats.org/officeDocument/2006/relationships/image" Target="../media/image37.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37192</xdr:colOff>
      <xdr:row>28</xdr:row>
      <xdr:rowOff>0</xdr:rowOff>
    </xdr:from>
    <xdr:to>
      <xdr:col>10</xdr:col>
      <xdr:colOff>283835</xdr:colOff>
      <xdr:row>45</xdr:row>
      <xdr:rowOff>49614</xdr:rowOff>
    </xdr:to>
    <xdr:pic>
      <xdr:nvPicPr>
        <xdr:cNvPr id="2" name="Picture 1">
          <a:extLst>
            <a:ext uri="{FF2B5EF4-FFF2-40B4-BE49-F238E27FC236}">
              <a16:creationId xmlns:a16="http://schemas.microsoft.com/office/drawing/2014/main" id="{9C7BC7A0-40E5-476F-81B0-DD00B3AA843E}"/>
            </a:ext>
          </a:extLst>
        </xdr:cNvPr>
        <xdr:cNvPicPr>
          <a:picLocks noChangeAspect="1"/>
        </xdr:cNvPicPr>
      </xdr:nvPicPr>
      <xdr:blipFill>
        <a:blip xmlns:r="http://schemas.openxmlformats.org/officeDocument/2006/relationships" r:embed="rId1"/>
        <a:stretch>
          <a:fillRect/>
        </a:stretch>
      </xdr:blipFill>
      <xdr:spPr>
        <a:xfrm>
          <a:off x="381557" y="3736731"/>
          <a:ext cx="6186893" cy="3163558"/>
        </a:xfrm>
        <a:prstGeom prst="rect">
          <a:avLst/>
        </a:prstGeom>
        <a:ln>
          <a:solidFill>
            <a:srgbClr val="FF66CC"/>
          </a:solidFill>
        </a:ln>
      </xdr:spPr>
    </xdr:pic>
    <xdr:clientData/>
  </xdr:twoCellAnchor>
  <xdr:twoCellAnchor editAs="oneCell">
    <xdr:from>
      <xdr:col>1</xdr:col>
      <xdr:colOff>19806</xdr:colOff>
      <xdr:row>45</xdr:row>
      <xdr:rowOff>164775</xdr:rowOff>
    </xdr:from>
    <xdr:to>
      <xdr:col>12</xdr:col>
      <xdr:colOff>57951</xdr:colOff>
      <xdr:row>64</xdr:row>
      <xdr:rowOff>49146</xdr:rowOff>
    </xdr:to>
    <xdr:pic>
      <xdr:nvPicPr>
        <xdr:cNvPr id="3" name="Picture 2">
          <a:extLst>
            <a:ext uri="{FF2B5EF4-FFF2-40B4-BE49-F238E27FC236}">
              <a16:creationId xmlns:a16="http://schemas.microsoft.com/office/drawing/2014/main" id="{290C9FF5-D227-4951-8BE8-A6D3CFDC6E32}"/>
            </a:ext>
          </a:extLst>
        </xdr:cNvPr>
        <xdr:cNvPicPr>
          <a:picLocks noChangeAspect="1"/>
        </xdr:cNvPicPr>
      </xdr:nvPicPr>
      <xdr:blipFill>
        <a:blip xmlns:r="http://schemas.openxmlformats.org/officeDocument/2006/relationships" r:embed="rId2"/>
        <a:stretch>
          <a:fillRect/>
        </a:stretch>
      </xdr:blipFill>
      <xdr:spPr>
        <a:xfrm>
          <a:off x="364171" y="7015448"/>
          <a:ext cx="7294520" cy="3360580"/>
        </a:xfrm>
        <a:prstGeom prst="rect">
          <a:avLst/>
        </a:prstGeom>
        <a:ln>
          <a:solidFill>
            <a:srgbClr val="918E00"/>
          </a:solidFill>
        </a:ln>
      </xdr:spPr>
    </xdr:pic>
    <xdr:clientData/>
  </xdr:twoCellAnchor>
  <xdr:twoCellAnchor editAs="oneCell">
    <xdr:from>
      <xdr:col>1</xdr:col>
      <xdr:colOff>21167</xdr:colOff>
      <xdr:row>64</xdr:row>
      <xdr:rowOff>179706</xdr:rowOff>
    </xdr:from>
    <xdr:to>
      <xdr:col>12</xdr:col>
      <xdr:colOff>57951</xdr:colOff>
      <xdr:row>74</xdr:row>
      <xdr:rowOff>172094</xdr:rowOff>
    </xdr:to>
    <xdr:pic>
      <xdr:nvPicPr>
        <xdr:cNvPr id="4" name="Picture 3">
          <a:extLst>
            <a:ext uri="{FF2B5EF4-FFF2-40B4-BE49-F238E27FC236}">
              <a16:creationId xmlns:a16="http://schemas.microsoft.com/office/drawing/2014/main" id="{FC30CDCC-F15A-4EC2-97E0-6733AF5CF51C}"/>
            </a:ext>
          </a:extLst>
        </xdr:cNvPr>
        <xdr:cNvPicPr>
          <a:picLocks noChangeAspect="1"/>
        </xdr:cNvPicPr>
      </xdr:nvPicPr>
      <xdr:blipFill>
        <a:blip xmlns:r="http://schemas.openxmlformats.org/officeDocument/2006/relationships" r:embed="rId3"/>
        <a:stretch>
          <a:fillRect/>
        </a:stretch>
      </xdr:blipFill>
      <xdr:spPr>
        <a:xfrm>
          <a:off x="365532" y="10510668"/>
          <a:ext cx="7293159" cy="1817315"/>
        </a:xfrm>
        <a:prstGeom prst="rect">
          <a:avLst/>
        </a:prstGeom>
        <a:ln>
          <a:solidFill>
            <a:schemeClr val="accent5">
              <a:lumMod val="75000"/>
            </a:schemeClr>
          </a:solidFill>
        </a:ln>
      </xdr:spPr>
    </xdr:pic>
    <xdr:clientData/>
  </xdr:twoCellAnchor>
  <xdr:twoCellAnchor editAs="oneCell">
    <xdr:from>
      <xdr:col>1</xdr:col>
      <xdr:colOff>0</xdr:colOff>
      <xdr:row>75</xdr:row>
      <xdr:rowOff>126803</xdr:rowOff>
    </xdr:from>
    <xdr:to>
      <xdr:col>12</xdr:col>
      <xdr:colOff>66346</xdr:colOff>
      <xdr:row>87</xdr:row>
      <xdr:rowOff>107167</xdr:rowOff>
    </xdr:to>
    <xdr:pic>
      <xdr:nvPicPr>
        <xdr:cNvPr id="5" name="Picture 4">
          <a:extLst>
            <a:ext uri="{FF2B5EF4-FFF2-40B4-BE49-F238E27FC236}">
              <a16:creationId xmlns:a16="http://schemas.microsoft.com/office/drawing/2014/main" id="{6CCDBA12-8CA7-4A8F-B5EF-91CABFAD99ED}"/>
            </a:ext>
          </a:extLst>
        </xdr:cNvPr>
        <xdr:cNvPicPr>
          <a:picLocks noChangeAspect="1"/>
        </xdr:cNvPicPr>
      </xdr:nvPicPr>
      <xdr:blipFill>
        <a:blip xmlns:r="http://schemas.openxmlformats.org/officeDocument/2006/relationships" r:embed="rId4"/>
        <a:stretch>
          <a:fillRect/>
        </a:stretch>
      </xdr:blipFill>
      <xdr:spPr>
        <a:xfrm>
          <a:off x="344365" y="12472668"/>
          <a:ext cx="7325441" cy="2179799"/>
        </a:xfrm>
        <a:prstGeom prst="rect">
          <a:avLst/>
        </a:prstGeom>
        <a:ln>
          <a:solidFill>
            <a:srgbClr val="FFCCFF"/>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19050</xdr:colOff>
      <xdr:row>0</xdr:row>
      <xdr:rowOff>76200</xdr:rowOff>
    </xdr:from>
    <xdr:to>
      <xdr:col>17</xdr:col>
      <xdr:colOff>2181</xdr:colOff>
      <xdr:row>9</xdr:row>
      <xdr:rowOff>130862</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4"/>
          </a:solidFill>
        </a:ln>
      </xdr:spPr>
    </xdr:pic>
    <xdr:clientData/>
  </xdr:twoCellAnchor>
  <xdr:twoCellAnchor editAs="oneCell">
    <xdr:from>
      <xdr:col>8</xdr:col>
      <xdr:colOff>12246</xdr:colOff>
      <xdr:row>10</xdr:row>
      <xdr:rowOff>63954</xdr:rowOff>
    </xdr:from>
    <xdr:to>
      <xdr:col>17</xdr:col>
      <xdr:colOff>0</xdr:colOff>
      <xdr:row>18</xdr:row>
      <xdr:rowOff>132201</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8</xdr:col>
      <xdr:colOff>0</xdr:colOff>
      <xdr:row>19</xdr:row>
      <xdr:rowOff>63954</xdr:rowOff>
    </xdr:from>
    <xdr:to>
      <xdr:col>17</xdr:col>
      <xdr:colOff>2720</xdr:colOff>
      <xdr:row>28</xdr:row>
      <xdr:rowOff>16550</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8</xdr:col>
      <xdr:colOff>0</xdr:colOff>
      <xdr:row>25</xdr:row>
      <xdr:rowOff>0</xdr:rowOff>
    </xdr:from>
    <xdr:to>
      <xdr:col>17</xdr:col>
      <xdr:colOff>10082</xdr:colOff>
      <xdr:row>33</xdr:row>
      <xdr:rowOff>121480</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8</xdr:col>
      <xdr:colOff>25854</xdr:colOff>
      <xdr:row>34</xdr:row>
      <xdr:rowOff>0</xdr:rowOff>
    </xdr:from>
    <xdr:to>
      <xdr:col>17</xdr:col>
      <xdr:colOff>0</xdr:colOff>
      <xdr:row>42</xdr:row>
      <xdr:rowOff>97088</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8</xdr:col>
      <xdr:colOff>25854</xdr:colOff>
      <xdr:row>43</xdr:row>
      <xdr:rowOff>38100</xdr:rowOff>
    </xdr:from>
    <xdr:to>
      <xdr:col>17</xdr:col>
      <xdr:colOff>0</xdr:colOff>
      <xdr:row>51</xdr:row>
      <xdr:rowOff>121307</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88704" y="8543925"/>
          <a:ext cx="5889171" cy="1532377"/>
        </a:xfrm>
        <a:prstGeom prst="rect">
          <a:avLst/>
        </a:prstGeom>
        <a:ln>
          <a:solidFill>
            <a:schemeClr val="accent1"/>
          </a:solidFill>
        </a:ln>
      </xdr:spPr>
    </xdr:pic>
    <xdr:clientData/>
  </xdr:twoCellAnchor>
  <xdr:twoCellAnchor editAs="oneCell">
    <xdr:from>
      <xdr:col>8</xdr:col>
      <xdr:colOff>9525</xdr:colOff>
      <xdr:row>52</xdr:row>
      <xdr:rowOff>66675</xdr:rowOff>
    </xdr:from>
    <xdr:to>
      <xdr:col>16</xdr:col>
      <xdr:colOff>583738</xdr:colOff>
      <xdr:row>60</xdr:row>
      <xdr:rowOff>45105</xdr:rowOff>
    </xdr:to>
    <xdr:pic>
      <xdr:nvPicPr>
        <xdr:cNvPr id="8" name="Picture 7">
          <a:extLst>
            <a:ext uri="{FF2B5EF4-FFF2-40B4-BE49-F238E27FC236}">
              <a16:creationId xmlns:a16="http://schemas.microsoft.com/office/drawing/2014/main" id="{CBAC6D82-40FE-3D13-8B48-579544EA9BF3}"/>
            </a:ext>
          </a:extLst>
        </xdr:cNvPr>
        <xdr:cNvPicPr>
          <a:picLocks noChangeAspect="1"/>
        </xdr:cNvPicPr>
      </xdr:nvPicPr>
      <xdr:blipFill rotWithShape="1">
        <a:blip xmlns:r="http://schemas.openxmlformats.org/officeDocument/2006/relationships" r:embed="rId7"/>
        <a:srcRect r="5779"/>
        <a:stretch/>
      </xdr:blipFill>
      <xdr:spPr>
        <a:xfrm>
          <a:off x="7077075" y="10734675"/>
          <a:ext cx="5448300" cy="1505160"/>
        </a:xfrm>
        <a:prstGeom prst="rect">
          <a:avLst/>
        </a:prstGeom>
        <a:ln>
          <a:solidFill>
            <a:schemeClr val="accent1"/>
          </a:solidFill>
        </a:ln>
      </xdr:spPr>
    </xdr:pic>
    <xdr:clientData/>
  </xdr:twoCellAnchor>
  <xdr:twoCellAnchor editAs="oneCell">
    <xdr:from>
      <xdr:col>7</xdr:col>
      <xdr:colOff>647700</xdr:colOff>
      <xdr:row>60</xdr:row>
      <xdr:rowOff>152400</xdr:rowOff>
    </xdr:from>
    <xdr:to>
      <xdr:col>16</xdr:col>
      <xdr:colOff>608240</xdr:colOff>
      <xdr:row>69</xdr:row>
      <xdr:rowOff>97193</xdr:rowOff>
    </xdr:to>
    <xdr:pic>
      <xdr:nvPicPr>
        <xdr:cNvPr id="9" name="Picture 8">
          <a:extLst>
            <a:ext uri="{FF2B5EF4-FFF2-40B4-BE49-F238E27FC236}">
              <a16:creationId xmlns:a16="http://schemas.microsoft.com/office/drawing/2014/main" id="{908AD47D-A9DF-9586-3CC6-676A17B152A4}"/>
            </a:ext>
          </a:extLst>
        </xdr:cNvPr>
        <xdr:cNvPicPr>
          <a:picLocks noChangeAspect="1"/>
        </xdr:cNvPicPr>
      </xdr:nvPicPr>
      <xdr:blipFill>
        <a:blip xmlns:r="http://schemas.openxmlformats.org/officeDocument/2006/relationships" r:embed="rId8"/>
        <a:stretch>
          <a:fillRect/>
        </a:stretch>
      </xdr:blipFill>
      <xdr:spPr>
        <a:xfrm>
          <a:off x="7553325" y="11734800"/>
          <a:ext cx="5905500" cy="1568126"/>
        </a:xfrm>
        <a:prstGeom prst="rect">
          <a:avLst/>
        </a:prstGeom>
        <a:ln>
          <a:solidFill>
            <a:schemeClr val="accent1"/>
          </a:solidFill>
        </a:ln>
      </xdr:spPr>
    </xdr:pic>
    <xdr:clientData/>
  </xdr:twoCellAnchor>
  <xdr:twoCellAnchor editAs="oneCell">
    <xdr:from>
      <xdr:col>8</xdr:col>
      <xdr:colOff>47625</xdr:colOff>
      <xdr:row>70</xdr:row>
      <xdr:rowOff>47625</xdr:rowOff>
    </xdr:from>
    <xdr:to>
      <xdr:col>16</xdr:col>
      <xdr:colOff>598166</xdr:colOff>
      <xdr:row>79</xdr:row>
      <xdr:rowOff>11107</xdr:rowOff>
    </xdr:to>
    <xdr:pic>
      <xdr:nvPicPr>
        <xdr:cNvPr id="10" name="Picture 9">
          <a:extLst>
            <a:ext uri="{FF2B5EF4-FFF2-40B4-BE49-F238E27FC236}">
              <a16:creationId xmlns:a16="http://schemas.microsoft.com/office/drawing/2014/main" id="{B4198AD9-D8E6-60BA-7AD2-A1124317D775}"/>
            </a:ext>
          </a:extLst>
        </xdr:cNvPr>
        <xdr:cNvPicPr>
          <a:picLocks noChangeAspect="1"/>
        </xdr:cNvPicPr>
      </xdr:nvPicPr>
      <xdr:blipFill>
        <a:blip xmlns:r="http://schemas.openxmlformats.org/officeDocument/2006/relationships" r:embed="rId9"/>
        <a:stretch>
          <a:fillRect/>
        </a:stretch>
      </xdr:blipFill>
      <xdr:spPr>
        <a:xfrm>
          <a:off x="6181725" y="13439775"/>
          <a:ext cx="5808340" cy="1592258"/>
        </a:xfrm>
        <a:prstGeom prst="rect">
          <a:avLst/>
        </a:prstGeom>
        <a:ln>
          <a:solidFill>
            <a:schemeClr val="accent1"/>
          </a:solidFill>
        </a:ln>
      </xdr:spPr>
    </xdr:pic>
    <xdr:clientData/>
  </xdr:twoCellAnchor>
  <xdr:twoCellAnchor editAs="oneCell">
    <xdr:from>
      <xdr:col>8</xdr:col>
      <xdr:colOff>57150</xdr:colOff>
      <xdr:row>79</xdr:row>
      <xdr:rowOff>133350</xdr:rowOff>
    </xdr:from>
    <xdr:to>
      <xdr:col>16</xdr:col>
      <xdr:colOff>591358</xdr:colOff>
      <xdr:row>88</xdr:row>
      <xdr:rowOff>36953</xdr:rowOff>
    </xdr:to>
    <xdr:pic>
      <xdr:nvPicPr>
        <xdr:cNvPr id="11" name="Picture 10">
          <a:extLst>
            <a:ext uri="{FF2B5EF4-FFF2-40B4-BE49-F238E27FC236}">
              <a16:creationId xmlns:a16="http://schemas.microsoft.com/office/drawing/2014/main" id="{28E9303E-D850-120B-B991-E45407188014}"/>
            </a:ext>
          </a:extLst>
        </xdr:cNvPr>
        <xdr:cNvPicPr>
          <a:picLocks noChangeAspect="1"/>
        </xdr:cNvPicPr>
      </xdr:nvPicPr>
      <xdr:blipFill>
        <a:blip xmlns:r="http://schemas.openxmlformats.org/officeDocument/2006/relationships" r:embed="rId10"/>
        <a:stretch>
          <a:fillRect/>
        </a:stretch>
      </xdr:blipFill>
      <xdr:spPr>
        <a:xfrm>
          <a:off x="6191250" y="15154275"/>
          <a:ext cx="5792008" cy="1532378"/>
        </a:xfrm>
        <a:prstGeom prst="rect">
          <a:avLst/>
        </a:prstGeom>
        <a:ln>
          <a:solidFill>
            <a:schemeClr val="accent1"/>
          </a:solidFill>
        </a:ln>
      </xdr:spPr>
    </xdr:pic>
    <xdr:clientData/>
  </xdr:twoCellAnchor>
  <xdr:twoCellAnchor editAs="oneCell">
    <xdr:from>
      <xdr:col>8</xdr:col>
      <xdr:colOff>66675</xdr:colOff>
      <xdr:row>88</xdr:row>
      <xdr:rowOff>161925</xdr:rowOff>
    </xdr:from>
    <xdr:to>
      <xdr:col>16</xdr:col>
      <xdr:colOff>570943</xdr:colOff>
      <xdr:row>97</xdr:row>
      <xdr:rowOff>35589</xdr:rowOff>
    </xdr:to>
    <xdr:pic>
      <xdr:nvPicPr>
        <xdr:cNvPr id="12" name="Picture 11">
          <a:extLst>
            <a:ext uri="{FF2B5EF4-FFF2-40B4-BE49-F238E27FC236}">
              <a16:creationId xmlns:a16="http://schemas.microsoft.com/office/drawing/2014/main" id="{257C027B-B0E9-C2BB-DE53-3945D26BE80B}"/>
            </a:ext>
          </a:extLst>
        </xdr:cNvPr>
        <xdr:cNvPicPr>
          <a:picLocks noChangeAspect="1"/>
        </xdr:cNvPicPr>
      </xdr:nvPicPr>
      <xdr:blipFill>
        <a:blip xmlns:r="http://schemas.openxmlformats.org/officeDocument/2006/relationships" r:embed="rId11"/>
        <a:stretch>
          <a:fillRect/>
        </a:stretch>
      </xdr:blipFill>
      <xdr:spPr>
        <a:xfrm>
          <a:off x="6200775" y="16811625"/>
          <a:ext cx="5762068" cy="1502439"/>
        </a:xfrm>
        <a:prstGeom prst="rect">
          <a:avLst/>
        </a:prstGeom>
        <a:ln>
          <a:solidFill>
            <a:schemeClr val="accent1"/>
          </a:solidFill>
        </a:ln>
      </xdr:spPr>
    </xdr:pic>
    <xdr:clientData/>
  </xdr:twoCellAnchor>
  <xdr:twoCellAnchor editAs="oneCell">
    <xdr:from>
      <xdr:col>8</xdr:col>
      <xdr:colOff>15553</xdr:colOff>
      <xdr:row>98</xdr:row>
      <xdr:rowOff>23724</xdr:rowOff>
    </xdr:from>
    <xdr:to>
      <xdr:col>17</xdr:col>
      <xdr:colOff>6999</xdr:colOff>
      <xdr:row>106</xdr:row>
      <xdr:rowOff>45031</xdr:rowOff>
    </xdr:to>
    <xdr:pic>
      <xdr:nvPicPr>
        <xdr:cNvPr id="13" name="Picture 12">
          <a:extLst>
            <a:ext uri="{FF2B5EF4-FFF2-40B4-BE49-F238E27FC236}">
              <a16:creationId xmlns:a16="http://schemas.microsoft.com/office/drawing/2014/main" id="{35A1C739-0A30-0283-0F53-559BC332F20C}"/>
            </a:ext>
          </a:extLst>
        </xdr:cNvPr>
        <xdr:cNvPicPr>
          <a:picLocks noChangeAspect="1"/>
        </xdr:cNvPicPr>
      </xdr:nvPicPr>
      <xdr:blipFill>
        <a:blip xmlns:r="http://schemas.openxmlformats.org/officeDocument/2006/relationships" r:embed="rId12"/>
        <a:stretch>
          <a:fillRect/>
        </a:stretch>
      </xdr:blipFill>
      <xdr:spPr>
        <a:xfrm>
          <a:off x="6150430" y="19058173"/>
          <a:ext cx="5831632" cy="1515566"/>
        </a:xfrm>
        <a:prstGeom prst="rect">
          <a:avLst/>
        </a:prstGeom>
        <a:ln>
          <a:solidFill>
            <a:schemeClr val="accent1"/>
          </a:solidFill>
        </a:ln>
      </xdr:spPr>
    </xdr:pic>
    <xdr:clientData/>
  </xdr:twoCellAnchor>
  <xdr:twoCellAnchor editAs="oneCell">
    <xdr:from>
      <xdr:col>8</xdr:col>
      <xdr:colOff>19050</xdr:colOff>
      <xdr:row>106</xdr:row>
      <xdr:rowOff>152400</xdr:rowOff>
    </xdr:from>
    <xdr:to>
      <xdr:col>17</xdr:col>
      <xdr:colOff>8164</xdr:colOff>
      <xdr:row>115</xdr:row>
      <xdr:rowOff>38323</xdr:rowOff>
    </xdr:to>
    <xdr:pic>
      <xdr:nvPicPr>
        <xdr:cNvPr id="14" name="Picture 13">
          <a:extLst>
            <a:ext uri="{FF2B5EF4-FFF2-40B4-BE49-F238E27FC236}">
              <a16:creationId xmlns:a16="http://schemas.microsoft.com/office/drawing/2014/main" id="{BEDB6BAC-54A6-E6CF-3A7F-8E4B94EA4E9B}"/>
            </a:ext>
          </a:extLst>
        </xdr:cNvPr>
        <xdr:cNvPicPr>
          <a:picLocks noChangeAspect="1"/>
        </xdr:cNvPicPr>
      </xdr:nvPicPr>
      <xdr:blipFill>
        <a:blip xmlns:r="http://schemas.openxmlformats.org/officeDocument/2006/relationships" r:embed="rId13"/>
        <a:stretch>
          <a:fillRect/>
        </a:stretch>
      </xdr:blipFill>
      <xdr:spPr>
        <a:xfrm>
          <a:off x="5838825" y="20345400"/>
          <a:ext cx="5476875" cy="1600423"/>
        </a:xfrm>
        <a:prstGeom prst="rect">
          <a:avLst/>
        </a:prstGeom>
        <a:ln>
          <a:solidFill>
            <a:schemeClr val="accent1"/>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21738</xdr:colOff>
      <xdr:row>0</xdr:row>
      <xdr:rowOff>121104</xdr:rowOff>
    </xdr:from>
    <xdr:to>
      <xdr:col>17</xdr:col>
      <xdr:colOff>2159</xdr:colOff>
      <xdr:row>8</xdr:row>
      <xdr:rowOff>111579</xdr:rowOff>
    </xdr:to>
    <xdr:pic>
      <xdr:nvPicPr>
        <xdr:cNvPr id="2" name="Picture 1">
          <a:extLst>
            <a:ext uri="{FF2B5EF4-FFF2-40B4-BE49-F238E27FC236}">
              <a16:creationId xmlns:a16="http://schemas.microsoft.com/office/drawing/2014/main" id="{C5BA6385-DE98-282A-6CCA-AEEC52D2D968}"/>
            </a:ext>
          </a:extLst>
        </xdr:cNvPr>
        <xdr:cNvPicPr>
          <a:picLocks noChangeAspect="1"/>
        </xdr:cNvPicPr>
      </xdr:nvPicPr>
      <xdr:blipFill>
        <a:blip xmlns:r="http://schemas.openxmlformats.org/officeDocument/2006/relationships" r:embed="rId1"/>
        <a:stretch>
          <a:fillRect/>
        </a:stretch>
      </xdr:blipFill>
      <xdr:spPr>
        <a:xfrm>
          <a:off x="6936888" y="121104"/>
          <a:ext cx="5206925" cy="1438275"/>
        </a:xfrm>
        <a:prstGeom prst="rect">
          <a:avLst/>
        </a:prstGeom>
        <a:ln>
          <a:solidFill>
            <a:schemeClr val="accent5"/>
          </a:solidFill>
        </a:ln>
      </xdr:spPr>
    </xdr:pic>
    <xdr:clientData/>
  </xdr:twoCellAnchor>
  <xdr:twoCellAnchor editAs="oneCell">
    <xdr:from>
      <xdr:col>9</xdr:col>
      <xdr:colOff>8165</xdr:colOff>
      <xdr:row>9</xdr:row>
      <xdr:rowOff>5442</xdr:rowOff>
    </xdr:from>
    <xdr:to>
      <xdr:col>17</xdr:col>
      <xdr:colOff>1</xdr:colOff>
      <xdr:row>16</xdr:row>
      <xdr:rowOff>124062</xdr:rowOff>
    </xdr:to>
    <xdr:pic>
      <xdr:nvPicPr>
        <xdr:cNvPr id="3" name="Picture 2">
          <a:extLst>
            <a:ext uri="{FF2B5EF4-FFF2-40B4-BE49-F238E27FC236}">
              <a16:creationId xmlns:a16="http://schemas.microsoft.com/office/drawing/2014/main" id="{0E66636C-07E2-0615-0EDD-DE0C4810C2E4}"/>
            </a:ext>
          </a:extLst>
        </xdr:cNvPr>
        <xdr:cNvPicPr>
          <a:picLocks noChangeAspect="1"/>
        </xdr:cNvPicPr>
      </xdr:nvPicPr>
      <xdr:blipFill>
        <a:blip xmlns:r="http://schemas.openxmlformats.org/officeDocument/2006/relationships" r:embed="rId2"/>
        <a:stretch>
          <a:fillRect/>
        </a:stretch>
      </xdr:blipFill>
      <xdr:spPr>
        <a:xfrm>
          <a:off x="6931479" y="1670956"/>
          <a:ext cx="5216980" cy="1409966"/>
        </a:xfrm>
        <a:prstGeom prst="rect">
          <a:avLst/>
        </a:prstGeom>
        <a:ln>
          <a:solidFill>
            <a:schemeClr val="accent2"/>
          </a:solidFill>
        </a:ln>
      </xdr:spPr>
    </xdr:pic>
    <xdr:clientData/>
  </xdr:twoCellAnchor>
  <xdr:twoCellAnchor editAs="oneCell">
    <xdr:from>
      <xdr:col>9</xdr:col>
      <xdr:colOff>32657</xdr:colOff>
      <xdr:row>17</xdr:row>
      <xdr:rowOff>51010</xdr:rowOff>
    </xdr:from>
    <xdr:to>
      <xdr:col>16</xdr:col>
      <xdr:colOff>608904</xdr:colOff>
      <xdr:row>24</xdr:row>
      <xdr:rowOff>123794</xdr:rowOff>
    </xdr:to>
    <xdr:pic>
      <xdr:nvPicPr>
        <xdr:cNvPr id="4" name="Picture 3">
          <a:extLst>
            <a:ext uri="{FF2B5EF4-FFF2-40B4-BE49-F238E27FC236}">
              <a16:creationId xmlns:a16="http://schemas.microsoft.com/office/drawing/2014/main" id="{476315D3-AA5E-605E-B457-C410F06134F0}"/>
            </a:ext>
          </a:extLst>
        </xdr:cNvPr>
        <xdr:cNvPicPr>
          <a:picLocks noChangeAspect="1"/>
        </xdr:cNvPicPr>
      </xdr:nvPicPr>
      <xdr:blipFill>
        <a:blip xmlns:r="http://schemas.openxmlformats.org/officeDocument/2006/relationships" r:embed="rId3"/>
        <a:stretch>
          <a:fillRect/>
        </a:stretch>
      </xdr:blipFill>
      <xdr:spPr>
        <a:xfrm>
          <a:off x="6955971" y="3196982"/>
          <a:ext cx="5176822" cy="1364130"/>
        </a:xfrm>
        <a:prstGeom prst="rect">
          <a:avLst/>
        </a:prstGeom>
        <a:ln>
          <a:solidFill>
            <a:schemeClr val="accent2"/>
          </a:solidFill>
        </a:ln>
      </xdr:spPr>
    </xdr:pic>
    <xdr:clientData/>
  </xdr:twoCellAnchor>
  <xdr:twoCellAnchor editAs="oneCell">
    <xdr:from>
      <xdr:col>9</xdr:col>
      <xdr:colOff>16331</xdr:colOff>
      <xdr:row>25</xdr:row>
      <xdr:rowOff>19050</xdr:rowOff>
    </xdr:from>
    <xdr:to>
      <xdr:col>17</xdr:col>
      <xdr:colOff>1359</xdr:colOff>
      <xdr:row>32</xdr:row>
      <xdr:rowOff>140587</xdr:rowOff>
    </xdr:to>
    <xdr:pic>
      <xdr:nvPicPr>
        <xdr:cNvPr id="5" name="Picture 4">
          <a:extLst>
            <a:ext uri="{FF2B5EF4-FFF2-40B4-BE49-F238E27FC236}">
              <a16:creationId xmlns:a16="http://schemas.microsoft.com/office/drawing/2014/main" id="{B41271F2-15EC-0FD3-C38E-38F247E387DE}"/>
            </a:ext>
          </a:extLst>
        </xdr:cNvPr>
        <xdr:cNvPicPr>
          <a:picLocks noChangeAspect="1"/>
        </xdr:cNvPicPr>
      </xdr:nvPicPr>
      <xdr:blipFill>
        <a:blip xmlns:r="http://schemas.openxmlformats.org/officeDocument/2006/relationships" r:embed="rId4"/>
        <a:stretch>
          <a:fillRect/>
        </a:stretch>
      </xdr:blipFill>
      <xdr:spPr>
        <a:xfrm>
          <a:off x="6931481" y="4543425"/>
          <a:ext cx="5203370" cy="1391060"/>
        </a:xfrm>
        <a:prstGeom prst="rect">
          <a:avLst/>
        </a:prstGeom>
        <a:ln>
          <a:solidFill>
            <a:schemeClr val="accent2"/>
          </a:solidFill>
        </a:ln>
      </xdr:spPr>
    </xdr:pic>
    <xdr:clientData/>
  </xdr:twoCellAnchor>
  <xdr:twoCellAnchor editAs="oneCell">
    <xdr:from>
      <xdr:col>9</xdr:col>
      <xdr:colOff>8164</xdr:colOff>
      <xdr:row>33</xdr:row>
      <xdr:rowOff>19050</xdr:rowOff>
    </xdr:from>
    <xdr:to>
      <xdr:col>17</xdr:col>
      <xdr:colOff>1358</xdr:colOff>
      <xdr:row>40</xdr:row>
      <xdr:rowOff>126522</xdr:rowOff>
    </xdr:to>
    <xdr:pic>
      <xdr:nvPicPr>
        <xdr:cNvPr id="6" name="Picture 5">
          <a:extLst>
            <a:ext uri="{FF2B5EF4-FFF2-40B4-BE49-F238E27FC236}">
              <a16:creationId xmlns:a16="http://schemas.microsoft.com/office/drawing/2014/main" id="{A8C66A8A-EDA9-4523-EEBE-02065A626E24}"/>
            </a:ext>
          </a:extLst>
        </xdr:cNvPr>
        <xdr:cNvPicPr>
          <a:picLocks noChangeAspect="1"/>
        </xdr:cNvPicPr>
      </xdr:nvPicPr>
      <xdr:blipFill>
        <a:blip xmlns:r="http://schemas.openxmlformats.org/officeDocument/2006/relationships" r:embed="rId5"/>
        <a:stretch>
          <a:fillRect/>
        </a:stretch>
      </xdr:blipFill>
      <xdr:spPr>
        <a:xfrm>
          <a:off x="6923314" y="5991225"/>
          <a:ext cx="5211536" cy="1371599"/>
        </a:xfrm>
        <a:prstGeom prst="rect">
          <a:avLst/>
        </a:prstGeom>
        <a:ln>
          <a:solidFill>
            <a:schemeClr val="accent2"/>
          </a:solidFill>
        </a:ln>
      </xdr:spPr>
    </xdr:pic>
    <xdr:clientData/>
  </xdr:twoCellAnchor>
  <xdr:twoCellAnchor editAs="oneCell">
    <xdr:from>
      <xdr:col>9</xdr:col>
      <xdr:colOff>10883</xdr:colOff>
      <xdr:row>41</xdr:row>
      <xdr:rowOff>19048</xdr:rowOff>
    </xdr:from>
    <xdr:to>
      <xdr:col>17</xdr:col>
      <xdr:colOff>12226</xdr:colOff>
      <xdr:row>49</xdr:row>
      <xdr:rowOff>133305</xdr:rowOff>
    </xdr:to>
    <xdr:pic>
      <xdr:nvPicPr>
        <xdr:cNvPr id="7" name="Picture 6">
          <a:extLst>
            <a:ext uri="{FF2B5EF4-FFF2-40B4-BE49-F238E27FC236}">
              <a16:creationId xmlns:a16="http://schemas.microsoft.com/office/drawing/2014/main" id="{46C10395-7AA6-76CA-2E2E-DAFC2A929F65}"/>
            </a:ext>
          </a:extLst>
        </xdr:cNvPr>
        <xdr:cNvPicPr>
          <a:picLocks noChangeAspect="1"/>
        </xdr:cNvPicPr>
      </xdr:nvPicPr>
      <xdr:blipFill>
        <a:blip xmlns:r="http://schemas.openxmlformats.org/officeDocument/2006/relationships" r:embed="rId6"/>
        <a:stretch>
          <a:fillRect/>
        </a:stretch>
      </xdr:blipFill>
      <xdr:spPr>
        <a:xfrm>
          <a:off x="6926033" y="7439023"/>
          <a:ext cx="5256441" cy="1567499"/>
        </a:xfrm>
        <a:prstGeom prst="rect">
          <a:avLst/>
        </a:prstGeom>
        <a:ln>
          <a:solidFill>
            <a:schemeClr val="accent2"/>
          </a:solidFill>
        </a:ln>
      </xdr:spPr>
    </xdr:pic>
    <xdr:clientData/>
  </xdr:twoCellAnchor>
  <xdr:twoCellAnchor editAs="oneCell">
    <xdr:from>
      <xdr:col>8</xdr:col>
      <xdr:colOff>639537</xdr:colOff>
      <xdr:row>50</xdr:row>
      <xdr:rowOff>84364</xdr:rowOff>
    </xdr:from>
    <xdr:to>
      <xdr:col>17</xdr:col>
      <xdr:colOff>920</xdr:colOff>
      <xdr:row>58</xdr:row>
      <xdr:rowOff>50331</xdr:rowOff>
    </xdr:to>
    <xdr:pic>
      <xdr:nvPicPr>
        <xdr:cNvPr id="8" name="Picture 7">
          <a:extLst>
            <a:ext uri="{FF2B5EF4-FFF2-40B4-BE49-F238E27FC236}">
              <a16:creationId xmlns:a16="http://schemas.microsoft.com/office/drawing/2014/main" id="{01C1E47C-7343-D528-8E7F-566402AA1ECE}"/>
            </a:ext>
          </a:extLst>
        </xdr:cNvPr>
        <xdr:cNvPicPr>
          <a:picLocks noChangeAspect="1"/>
        </xdr:cNvPicPr>
      </xdr:nvPicPr>
      <xdr:blipFill>
        <a:blip xmlns:r="http://schemas.openxmlformats.org/officeDocument/2006/relationships" r:embed="rId7"/>
        <a:stretch>
          <a:fillRect/>
        </a:stretch>
      </xdr:blipFill>
      <xdr:spPr>
        <a:xfrm>
          <a:off x="6897462" y="9133114"/>
          <a:ext cx="5272326" cy="1411061"/>
        </a:xfrm>
        <a:prstGeom prst="rect">
          <a:avLst/>
        </a:prstGeom>
        <a:ln>
          <a:solidFill>
            <a:schemeClr val="accent2"/>
          </a:solidFill>
        </a:ln>
      </xdr:spPr>
    </xdr:pic>
    <xdr:clientData/>
  </xdr:twoCellAnchor>
  <xdr:twoCellAnchor editAs="oneCell">
    <xdr:from>
      <xdr:col>8</xdr:col>
      <xdr:colOff>601436</xdr:colOff>
      <xdr:row>59</xdr:row>
      <xdr:rowOff>54429</xdr:rowOff>
    </xdr:from>
    <xdr:to>
      <xdr:col>17</xdr:col>
      <xdr:colOff>10880</xdr:colOff>
      <xdr:row>66</xdr:row>
      <xdr:rowOff>9487</xdr:rowOff>
    </xdr:to>
    <xdr:pic>
      <xdr:nvPicPr>
        <xdr:cNvPr id="9" name="Picture 8">
          <a:extLst>
            <a:ext uri="{FF2B5EF4-FFF2-40B4-BE49-F238E27FC236}">
              <a16:creationId xmlns:a16="http://schemas.microsoft.com/office/drawing/2014/main" id="{ECD9B0AD-321C-0137-AD41-31133EEBF081}"/>
            </a:ext>
          </a:extLst>
        </xdr:cNvPr>
        <xdr:cNvPicPr>
          <a:picLocks noChangeAspect="1"/>
        </xdr:cNvPicPr>
      </xdr:nvPicPr>
      <xdr:blipFill>
        <a:blip xmlns:r="http://schemas.openxmlformats.org/officeDocument/2006/relationships" r:embed="rId8"/>
        <a:stretch>
          <a:fillRect/>
        </a:stretch>
      </xdr:blipFill>
      <xdr:spPr>
        <a:xfrm>
          <a:off x="6859361" y="10731954"/>
          <a:ext cx="5323114" cy="1220528"/>
        </a:xfrm>
        <a:prstGeom prst="rect">
          <a:avLst/>
        </a:prstGeom>
        <a:ln>
          <a:solidFill>
            <a:schemeClr val="accent2"/>
          </a:solidFill>
        </a:ln>
      </xdr:spPr>
    </xdr:pic>
    <xdr:clientData/>
  </xdr:twoCellAnchor>
  <xdr:twoCellAnchor editAs="oneCell">
    <xdr:from>
      <xdr:col>8</xdr:col>
      <xdr:colOff>579665</xdr:colOff>
      <xdr:row>66</xdr:row>
      <xdr:rowOff>144236</xdr:rowOff>
    </xdr:from>
    <xdr:to>
      <xdr:col>17</xdr:col>
      <xdr:colOff>10622</xdr:colOff>
      <xdr:row>74</xdr:row>
      <xdr:rowOff>87080</xdr:rowOff>
    </xdr:to>
    <xdr:pic>
      <xdr:nvPicPr>
        <xdr:cNvPr id="10" name="Picture 9">
          <a:extLst>
            <a:ext uri="{FF2B5EF4-FFF2-40B4-BE49-F238E27FC236}">
              <a16:creationId xmlns:a16="http://schemas.microsoft.com/office/drawing/2014/main" id="{5DD6EDD8-51FE-F969-4542-6165042A6A2C}"/>
            </a:ext>
          </a:extLst>
        </xdr:cNvPr>
        <xdr:cNvPicPr>
          <a:picLocks noChangeAspect="1"/>
        </xdr:cNvPicPr>
      </xdr:nvPicPr>
      <xdr:blipFill>
        <a:blip xmlns:r="http://schemas.openxmlformats.org/officeDocument/2006/relationships" r:embed="rId9"/>
        <a:stretch>
          <a:fillRect/>
        </a:stretch>
      </xdr:blipFill>
      <xdr:spPr>
        <a:xfrm>
          <a:off x="6837590" y="12088586"/>
          <a:ext cx="5339184" cy="1389289"/>
        </a:xfrm>
        <a:prstGeom prst="rect">
          <a:avLst/>
        </a:prstGeom>
        <a:ln>
          <a:solidFill>
            <a:schemeClr val="accent2"/>
          </a:solidFill>
        </a:ln>
      </xdr:spPr>
    </xdr:pic>
    <xdr:clientData/>
  </xdr:twoCellAnchor>
  <xdr:twoCellAnchor editAs="oneCell">
    <xdr:from>
      <xdr:col>8</xdr:col>
      <xdr:colOff>581025</xdr:colOff>
      <xdr:row>75</xdr:row>
      <xdr:rowOff>88446</xdr:rowOff>
    </xdr:from>
    <xdr:to>
      <xdr:col>17</xdr:col>
      <xdr:colOff>16329</xdr:colOff>
      <xdr:row>83</xdr:row>
      <xdr:rowOff>38875</xdr:rowOff>
    </xdr:to>
    <xdr:pic>
      <xdr:nvPicPr>
        <xdr:cNvPr id="11" name="Picture 10">
          <a:extLst>
            <a:ext uri="{FF2B5EF4-FFF2-40B4-BE49-F238E27FC236}">
              <a16:creationId xmlns:a16="http://schemas.microsoft.com/office/drawing/2014/main" id="{07F29F78-3573-05A6-DC55-366EF8F63D3D}"/>
            </a:ext>
          </a:extLst>
        </xdr:cNvPr>
        <xdr:cNvPicPr>
          <a:picLocks noChangeAspect="1"/>
        </xdr:cNvPicPr>
      </xdr:nvPicPr>
      <xdr:blipFill>
        <a:blip xmlns:r="http://schemas.openxmlformats.org/officeDocument/2006/relationships" r:embed="rId10"/>
        <a:stretch>
          <a:fillRect/>
        </a:stretch>
      </xdr:blipFill>
      <xdr:spPr>
        <a:xfrm>
          <a:off x="6838950" y="13661571"/>
          <a:ext cx="5353050" cy="1398229"/>
        </a:xfrm>
        <a:prstGeom prst="rect">
          <a:avLst/>
        </a:prstGeom>
        <a:ln>
          <a:solidFill>
            <a:schemeClr val="accent2"/>
          </a:solidFill>
        </a:ln>
      </xdr:spPr>
    </xdr:pic>
    <xdr:clientData/>
  </xdr:twoCellAnchor>
  <xdr:twoCellAnchor editAs="oneCell">
    <xdr:from>
      <xdr:col>8</xdr:col>
      <xdr:colOff>587829</xdr:colOff>
      <xdr:row>84</xdr:row>
      <xdr:rowOff>8163</xdr:rowOff>
    </xdr:from>
    <xdr:to>
      <xdr:col>17</xdr:col>
      <xdr:colOff>27215</xdr:colOff>
      <xdr:row>91</xdr:row>
      <xdr:rowOff>131198</xdr:rowOff>
    </xdr:to>
    <xdr:pic>
      <xdr:nvPicPr>
        <xdr:cNvPr id="12" name="Picture 11">
          <a:extLst>
            <a:ext uri="{FF2B5EF4-FFF2-40B4-BE49-F238E27FC236}">
              <a16:creationId xmlns:a16="http://schemas.microsoft.com/office/drawing/2014/main" id="{A6E72375-2B96-44CA-AF7F-40FE865CA634}"/>
            </a:ext>
          </a:extLst>
        </xdr:cNvPr>
        <xdr:cNvPicPr>
          <a:picLocks noChangeAspect="1"/>
        </xdr:cNvPicPr>
      </xdr:nvPicPr>
      <xdr:blipFill>
        <a:blip xmlns:r="http://schemas.openxmlformats.org/officeDocument/2006/relationships" r:embed="rId11"/>
        <a:stretch>
          <a:fillRect/>
        </a:stretch>
      </xdr:blipFill>
      <xdr:spPr>
        <a:xfrm>
          <a:off x="6845754" y="15210063"/>
          <a:ext cx="5355771" cy="1392581"/>
        </a:xfrm>
        <a:prstGeom prst="rect">
          <a:avLst/>
        </a:prstGeom>
        <a:ln>
          <a:solidFill>
            <a:schemeClr val="accent2"/>
          </a:solid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95250</xdr:colOff>
      <xdr:row>1</xdr:row>
      <xdr:rowOff>47625</xdr:rowOff>
    </xdr:from>
    <xdr:to>
      <xdr:col>17</xdr:col>
      <xdr:colOff>550618</xdr:colOff>
      <xdr:row>10</xdr:row>
      <xdr:rowOff>122690</xdr:rowOff>
    </xdr:to>
    <xdr:pic>
      <xdr:nvPicPr>
        <xdr:cNvPr id="2" name="Picture 1">
          <a:extLst>
            <a:ext uri="{FF2B5EF4-FFF2-40B4-BE49-F238E27FC236}">
              <a16:creationId xmlns:a16="http://schemas.microsoft.com/office/drawing/2014/main" id="{8BE9A7AD-35B2-3C00-34E9-DB60438DEBA7}"/>
            </a:ext>
          </a:extLst>
        </xdr:cNvPr>
        <xdr:cNvPicPr>
          <a:picLocks noChangeAspect="1"/>
        </xdr:cNvPicPr>
      </xdr:nvPicPr>
      <xdr:blipFill>
        <a:blip xmlns:r="http://schemas.openxmlformats.org/officeDocument/2006/relationships" r:embed="rId1"/>
        <a:stretch>
          <a:fillRect/>
        </a:stretch>
      </xdr:blipFill>
      <xdr:spPr>
        <a:xfrm>
          <a:off x="6353175" y="228600"/>
          <a:ext cx="6373114" cy="1705213"/>
        </a:xfrm>
        <a:prstGeom prst="rect">
          <a:avLst/>
        </a:prstGeom>
        <a:ln>
          <a:solidFill>
            <a:schemeClr val="tx2"/>
          </a:solidFill>
        </a:ln>
      </xdr:spPr>
    </xdr:pic>
    <xdr:clientData/>
  </xdr:twoCellAnchor>
  <xdr:twoCellAnchor editAs="oneCell">
    <xdr:from>
      <xdr:col>8</xdr:col>
      <xdr:colOff>103414</xdr:colOff>
      <xdr:row>11</xdr:row>
      <xdr:rowOff>20410</xdr:rowOff>
    </xdr:from>
    <xdr:to>
      <xdr:col>17</xdr:col>
      <xdr:colOff>562854</xdr:colOff>
      <xdr:row>20</xdr:row>
      <xdr:rowOff>47618</xdr:rowOff>
    </xdr:to>
    <xdr:pic>
      <xdr:nvPicPr>
        <xdr:cNvPr id="3" name="Picture 2">
          <a:extLst>
            <a:ext uri="{FF2B5EF4-FFF2-40B4-BE49-F238E27FC236}">
              <a16:creationId xmlns:a16="http://schemas.microsoft.com/office/drawing/2014/main" id="{FE95206B-AA5D-E0BE-1E4C-7418D6D1D0F2}"/>
            </a:ext>
          </a:extLst>
        </xdr:cNvPr>
        <xdr:cNvPicPr>
          <a:picLocks noChangeAspect="1"/>
        </xdr:cNvPicPr>
      </xdr:nvPicPr>
      <xdr:blipFill>
        <a:blip xmlns:r="http://schemas.openxmlformats.org/officeDocument/2006/relationships" r:embed="rId2"/>
        <a:stretch>
          <a:fillRect/>
        </a:stretch>
      </xdr:blipFill>
      <xdr:spPr>
        <a:xfrm>
          <a:off x="6361339" y="2011135"/>
          <a:ext cx="6379901" cy="1655990"/>
        </a:xfrm>
        <a:prstGeom prst="rect">
          <a:avLst/>
        </a:prstGeom>
        <a:ln>
          <a:solidFill>
            <a:schemeClr val="accent5"/>
          </a:solidFill>
        </a:ln>
      </xdr:spPr>
    </xdr:pic>
    <xdr:clientData/>
  </xdr:twoCellAnchor>
  <xdr:twoCellAnchor editAs="oneCell">
    <xdr:from>
      <xdr:col>8</xdr:col>
      <xdr:colOff>95251</xdr:colOff>
      <xdr:row>20</xdr:row>
      <xdr:rowOff>114300</xdr:rowOff>
    </xdr:from>
    <xdr:to>
      <xdr:col>17</xdr:col>
      <xdr:colOff>541561</xdr:colOff>
      <xdr:row>29</xdr:row>
      <xdr:rowOff>170324</xdr:rowOff>
    </xdr:to>
    <xdr:pic>
      <xdr:nvPicPr>
        <xdr:cNvPr id="4" name="Picture 3">
          <a:extLst>
            <a:ext uri="{FF2B5EF4-FFF2-40B4-BE49-F238E27FC236}">
              <a16:creationId xmlns:a16="http://schemas.microsoft.com/office/drawing/2014/main" id="{5CBF700D-8543-2B37-53F1-B9A99B291108}"/>
            </a:ext>
          </a:extLst>
        </xdr:cNvPr>
        <xdr:cNvPicPr>
          <a:picLocks noChangeAspect="1"/>
        </xdr:cNvPicPr>
      </xdr:nvPicPr>
      <xdr:blipFill>
        <a:blip xmlns:r="http://schemas.openxmlformats.org/officeDocument/2006/relationships" r:embed="rId3"/>
        <a:stretch>
          <a:fillRect/>
        </a:stretch>
      </xdr:blipFill>
      <xdr:spPr>
        <a:xfrm>
          <a:off x="6353176" y="3733800"/>
          <a:ext cx="6362700" cy="1687520"/>
        </a:xfrm>
        <a:prstGeom prst="rect">
          <a:avLst/>
        </a:prstGeom>
        <a:ln>
          <a:solidFill>
            <a:schemeClr val="accent5"/>
          </a:solidFill>
        </a:ln>
      </xdr:spPr>
    </xdr:pic>
    <xdr:clientData/>
  </xdr:twoCellAnchor>
  <xdr:twoCellAnchor editAs="oneCell">
    <xdr:from>
      <xdr:col>8</xdr:col>
      <xdr:colOff>76200</xdr:colOff>
      <xdr:row>30</xdr:row>
      <xdr:rowOff>106136</xdr:rowOff>
    </xdr:from>
    <xdr:to>
      <xdr:col>17</xdr:col>
      <xdr:colOff>561979</xdr:colOff>
      <xdr:row>39</xdr:row>
      <xdr:rowOff>125412</xdr:rowOff>
    </xdr:to>
    <xdr:pic>
      <xdr:nvPicPr>
        <xdr:cNvPr id="5" name="Picture 4">
          <a:extLst>
            <a:ext uri="{FF2B5EF4-FFF2-40B4-BE49-F238E27FC236}">
              <a16:creationId xmlns:a16="http://schemas.microsoft.com/office/drawing/2014/main" id="{00102326-82DD-EA31-0633-9D56AABB95C0}"/>
            </a:ext>
          </a:extLst>
        </xdr:cNvPr>
        <xdr:cNvPicPr>
          <a:picLocks noChangeAspect="1"/>
        </xdr:cNvPicPr>
      </xdr:nvPicPr>
      <xdr:blipFill>
        <a:blip xmlns:r="http://schemas.openxmlformats.org/officeDocument/2006/relationships" r:embed="rId4"/>
        <a:stretch>
          <a:fillRect/>
        </a:stretch>
      </xdr:blipFill>
      <xdr:spPr>
        <a:xfrm>
          <a:off x="6334125" y="5535386"/>
          <a:ext cx="6400800" cy="1648055"/>
        </a:xfrm>
        <a:prstGeom prst="rect">
          <a:avLst/>
        </a:prstGeom>
        <a:ln>
          <a:solidFill>
            <a:schemeClr val="accent5"/>
          </a:solidFill>
        </a:ln>
      </xdr:spPr>
    </xdr:pic>
    <xdr:clientData/>
  </xdr:twoCellAnchor>
  <xdr:twoCellAnchor editAs="oneCell">
    <xdr:from>
      <xdr:col>8</xdr:col>
      <xdr:colOff>68035</xdr:colOff>
      <xdr:row>40</xdr:row>
      <xdr:rowOff>74839</xdr:rowOff>
    </xdr:from>
    <xdr:to>
      <xdr:col>17</xdr:col>
      <xdr:colOff>552450</xdr:colOff>
      <xdr:row>49</xdr:row>
      <xdr:rowOff>105756</xdr:rowOff>
    </xdr:to>
    <xdr:pic>
      <xdr:nvPicPr>
        <xdr:cNvPr id="6" name="Picture 5">
          <a:extLst>
            <a:ext uri="{FF2B5EF4-FFF2-40B4-BE49-F238E27FC236}">
              <a16:creationId xmlns:a16="http://schemas.microsoft.com/office/drawing/2014/main" id="{E28947CF-63BD-4312-901B-3860C1DCC9F8}"/>
            </a:ext>
          </a:extLst>
        </xdr:cNvPr>
        <xdr:cNvPicPr>
          <a:picLocks noChangeAspect="1"/>
        </xdr:cNvPicPr>
      </xdr:nvPicPr>
      <xdr:blipFill>
        <a:blip xmlns:r="http://schemas.openxmlformats.org/officeDocument/2006/relationships" r:embed="rId5"/>
        <a:stretch>
          <a:fillRect/>
        </a:stretch>
      </xdr:blipFill>
      <xdr:spPr>
        <a:xfrm>
          <a:off x="6325960" y="7313839"/>
          <a:ext cx="6402161" cy="1658329"/>
        </a:xfrm>
        <a:prstGeom prst="rect">
          <a:avLst/>
        </a:prstGeom>
        <a:ln>
          <a:solidFill>
            <a:schemeClr val="accent1"/>
          </a:solidFill>
        </a:ln>
      </xdr:spPr>
    </xdr:pic>
    <xdr:clientData/>
  </xdr:twoCellAnchor>
  <xdr:twoCellAnchor editAs="oneCell">
    <xdr:from>
      <xdr:col>8</xdr:col>
      <xdr:colOff>63954</xdr:colOff>
      <xdr:row>50</xdr:row>
      <xdr:rowOff>73479</xdr:rowOff>
    </xdr:from>
    <xdr:to>
      <xdr:col>17</xdr:col>
      <xdr:colOff>545176</xdr:colOff>
      <xdr:row>59</xdr:row>
      <xdr:rowOff>111812</xdr:rowOff>
    </xdr:to>
    <xdr:pic>
      <xdr:nvPicPr>
        <xdr:cNvPr id="7" name="Picture 6">
          <a:extLst>
            <a:ext uri="{FF2B5EF4-FFF2-40B4-BE49-F238E27FC236}">
              <a16:creationId xmlns:a16="http://schemas.microsoft.com/office/drawing/2014/main" id="{C895FE60-97E5-E1B5-792D-D8DFBBB2B0A0}"/>
            </a:ext>
          </a:extLst>
        </xdr:cNvPr>
        <xdr:cNvPicPr>
          <a:picLocks noChangeAspect="1"/>
        </xdr:cNvPicPr>
      </xdr:nvPicPr>
      <xdr:blipFill>
        <a:blip xmlns:r="http://schemas.openxmlformats.org/officeDocument/2006/relationships" r:embed="rId6"/>
        <a:stretch>
          <a:fillRect/>
        </a:stretch>
      </xdr:blipFill>
      <xdr:spPr>
        <a:xfrm>
          <a:off x="6321879" y="9122229"/>
          <a:ext cx="6392167" cy="1667108"/>
        </a:xfrm>
        <a:prstGeom prst="rect">
          <a:avLst/>
        </a:prstGeom>
        <a:ln>
          <a:solidFill>
            <a:schemeClr val="accent1"/>
          </a:solidFill>
        </a:ln>
      </xdr:spPr>
    </xdr:pic>
    <xdr:clientData/>
  </xdr:twoCellAnchor>
  <xdr:twoCellAnchor editAs="oneCell">
    <xdr:from>
      <xdr:col>8</xdr:col>
      <xdr:colOff>123825</xdr:colOff>
      <xdr:row>60</xdr:row>
      <xdr:rowOff>106136</xdr:rowOff>
    </xdr:from>
    <xdr:to>
      <xdr:col>17</xdr:col>
      <xdr:colOff>531562</xdr:colOff>
      <xdr:row>69</xdr:row>
      <xdr:rowOff>134942</xdr:rowOff>
    </xdr:to>
    <xdr:pic>
      <xdr:nvPicPr>
        <xdr:cNvPr id="8" name="Picture 7">
          <a:extLst>
            <a:ext uri="{FF2B5EF4-FFF2-40B4-BE49-F238E27FC236}">
              <a16:creationId xmlns:a16="http://schemas.microsoft.com/office/drawing/2014/main" id="{C4C73F47-2DAB-3F62-E0FE-565F23E6D003}"/>
            </a:ext>
          </a:extLst>
        </xdr:cNvPr>
        <xdr:cNvPicPr>
          <a:picLocks noChangeAspect="1"/>
        </xdr:cNvPicPr>
      </xdr:nvPicPr>
      <xdr:blipFill>
        <a:blip xmlns:r="http://schemas.openxmlformats.org/officeDocument/2006/relationships" r:embed="rId7"/>
        <a:stretch>
          <a:fillRect/>
        </a:stretch>
      </xdr:blipFill>
      <xdr:spPr>
        <a:xfrm>
          <a:off x="6381750" y="10964636"/>
          <a:ext cx="6322762" cy="1654860"/>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29937</xdr:colOff>
      <xdr:row>19</xdr:row>
      <xdr:rowOff>121104</xdr:rowOff>
    </xdr:from>
    <xdr:to>
      <xdr:col>6</xdr:col>
      <xdr:colOff>1076325</xdr:colOff>
      <xdr:row>22</xdr:row>
      <xdr:rowOff>66676</xdr:rowOff>
    </xdr:to>
    <xdr:sp macro="" textlink="">
      <xdr:nvSpPr>
        <xdr:cNvPr id="2" name="TextBox 1">
          <a:extLst>
            <a:ext uri="{FF2B5EF4-FFF2-40B4-BE49-F238E27FC236}">
              <a16:creationId xmlns:a16="http://schemas.microsoft.com/office/drawing/2014/main" id="{9A062AE8-EF94-46D2-1C7F-15F1CFBDDB5B}"/>
            </a:ext>
          </a:extLst>
        </xdr:cNvPr>
        <xdr:cNvSpPr txBox="1"/>
      </xdr:nvSpPr>
      <xdr:spPr>
        <a:xfrm>
          <a:off x="29937" y="6474279"/>
          <a:ext cx="5504088" cy="488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Estimated funded projects is anticipated</a:t>
          </a:r>
          <a:r>
            <a:rPr lang="en-US" sz="1050" baseline="0"/>
            <a:t> </a:t>
          </a:r>
          <a:r>
            <a:rPr lang="en-US" sz="1050"/>
            <a:t>funding to be transferred back to the school for approved FRP projects from FRP program funds.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87086</xdr:colOff>
      <xdr:row>85</xdr:row>
      <xdr:rowOff>88446</xdr:rowOff>
    </xdr:from>
    <xdr:to>
      <xdr:col>5</xdr:col>
      <xdr:colOff>390525</xdr:colOff>
      <xdr:row>88</xdr:row>
      <xdr:rowOff>36740</xdr:rowOff>
    </xdr:to>
    <xdr:sp macro="" textlink="">
      <xdr:nvSpPr>
        <xdr:cNvPr id="2" name="TextBox 1">
          <a:extLst>
            <a:ext uri="{FF2B5EF4-FFF2-40B4-BE49-F238E27FC236}">
              <a16:creationId xmlns:a16="http://schemas.microsoft.com/office/drawing/2014/main" id="{7A3948AF-1AB2-464A-A54A-AA243F82CF10}"/>
            </a:ext>
          </a:extLst>
        </xdr:cNvPr>
        <xdr:cNvSpPr txBox="1"/>
      </xdr:nvSpPr>
      <xdr:spPr>
        <a:xfrm>
          <a:off x="87086" y="11527971"/>
          <a:ext cx="8304439" cy="491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Estimated total budget represents the best rough order of magnitude for total project costs.</a:t>
          </a:r>
        </a:p>
        <a:p>
          <a:pPr algn="l"/>
          <a:r>
            <a:rPr lang="en-US" sz="1050"/>
            <a:t>FYxx FRP funding indicates </a:t>
          </a:r>
          <a:r>
            <a:rPr lang="en-US" sz="1100">
              <a:solidFill>
                <a:schemeClr val="dk1"/>
              </a:solidFill>
              <a:effectLst/>
              <a:latin typeface="+mn-lt"/>
              <a:ea typeface="+mn-ea"/>
              <a:cs typeface="+mn-cs"/>
            </a:rPr>
            <a:t>anticipated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funding to be transferred back to the school for approved FRP projects from FRP program funds. </a:t>
          </a:r>
          <a:endParaRPr lang="en-US" sz="105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68038</xdr:colOff>
      <xdr:row>4</xdr:row>
      <xdr:rowOff>2720</xdr:rowOff>
    </xdr:from>
    <xdr:to>
      <xdr:col>13</xdr:col>
      <xdr:colOff>372883</xdr:colOff>
      <xdr:row>10</xdr:row>
      <xdr:rowOff>160591</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2856031" y="726620"/>
              <a:ext cx="1621963" cy="124513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144231</xdr:colOff>
      <xdr:row>4</xdr:row>
      <xdr:rowOff>2719</xdr:rowOff>
    </xdr:from>
    <xdr:to>
      <xdr:col>10</xdr:col>
      <xdr:colOff>534638</xdr:colOff>
      <xdr:row>33</xdr:row>
      <xdr:rowOff>111597</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10308767" y="726619"/>
              <a:ext cx="2360721" cy="535715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20409</xdr:colOff>
      <xdr:row>4</xdr:row>
      <xdr:rowOff>9523</xdr:rowOff>
    </xdr:from>
    <xdr:to>
      <xdr:col>7</xdr:col>
      <xdr:colOff>19050</xdr:colOff>
      <xdr:row>21</xdr:row>
      <xdr:rowOff>164608</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8211909" y="736146"/>
              <a:ext cx="1970316" cy="290922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35379</xdr:colOff>
      <xdr:row>4</xdr:row>
      <xdr:rowOff>16328</xdr:rowOff>
    </xdr:from>
    <xdr:to>
      <xdr:col>17</xdr:col>
      <xdr:colOff>254505</xdr:colOff>
      <xdr:row>19</xdr:row>
      <xdr:rowOff>25905</xdr:rowOff>
    </xdr:to>
    <mc:AlternateContent xmlns:mc="http://schemas.openxmlformats.org/markup-compatibility/2006" xmlns:a14="http://schemas.microsoft.com/office/drawing/2010/main">
      <mc:Choice Requires="a14">
        <xdr:graphicFrame macro="">
          <xdr:nvGraphicFramePr>
            <xdr:cNvPr id="3" name="Phase">
              <a:extLst>
                <a:ext uri="{FF2B5EF4-FFF2-40B4-BE49-F238E27FC236}">
                  <a16:creationId xmlns:a16="http://schemas.microsoft.com/office/drawing/2014/main" id="{EE27D517-1BD9-76C7-A741-C9491496F1BE}"/>
                </a:ext>
              </a:extLst>
            </xdr:cNvPr>
            <xdr:cNvGraphicFramePr/>
          </xdr:nvGraphicFramePr>
          <xdr:xfrm>
            <a:off x="0" y="0"/>
            <a:ext cx="0" cy="0"/>
          </xdr:xfrm>
          <a:graphic>
            <a:graphicData uri="http://schemas.microsoft.com/office/drawing/2010/slicer">
              <sle:slicer xmlns:sle="http://schemas.microsoft.com/office/drawing/2010/slicer" name="Phase"/>
            </a:graphicData>
          </a:graphic>
        </xdr:graphicFrame>
      </mc:Choice>
      <mc:Fallback xmlns="">
        <xdr:sp macro="" textlink="">
          <xdr:nvSpPr>
            <xdr:cNvPr id="0" name=""/>
            <xdr:cNvSpPr>
              <a:spLocks noTextEdit="1"/>
            </xdr:cNvSpPr>
          </xdr:nvSpPr>
          <xdr:spPr>
            <a:xfrm>
              <a:off x="14799129" y="742950"/>
              <a:ext cx="1831521" cy="25622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130629</xdr:colOff>
      <xdr:row>21</xdr:row>
      <xdr:rowOff>44904</xdr:rowOff>
    </xdr:from>
    <xdr:to>
      <xdr:col>4</xdr:col>
      <xdr:colOff>2620688</xdr:colOff>
      <xdr:row>34</xdr:row>
      <xdr:rowOff>35824</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30629" y="3845379"/>
          <a:ext cx="6240641" cy="2343595"/>
        </a:xfrm>
        <a:prstGeom prst="rect">
          <a:avLst/>
        </a:prstGeom>
        <a:ln>
          <a:solidFill>
            <a:schemeClr val="accent3"/>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97971</xdr:colOff>
      <xdr:row>42</xdr:row>
      <xdr:rowOff>178254</xdr:rowOff>
    </xdr:from>
    <xdr:to>
      <xdr:col>15</xdr:col>
      <xdr:colOff>210501</xdr:colOff>
      <xdr:row>60</xdr:row>
      <xdr:rowOff>11830</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0</xdr:colOff>
      <xdr:row>24</xdr:row>
      <xdr:rowOff>31296</xdr:rowOff>
    </xdr:from>
    <xdr:to>
      <xdr:col>8</xdr:col>
      <xdr:colOff>521899</xdr:colOff>
      <xdr:row>45</xdr:row>
      <xdr:rowOff>2227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0" y="4022271"/>
          <a:ext cx="11770139" cy="3771406"/>
        </a:xfrm>
        <a:prstGeom prst="rect">
          <a:avLst/>
        </a:prstGeom>
        <a:ln>
          <a:solidFill>
            <a:schemeClr val="accent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11</xdr:col>
      <xdr:colOff>681593</xdr:colOff>
      <xdr:row>58</xdr:row>
      <xdr:rowOff>7744</xdr:rowOff>
    </xdr:to>
    <xdr:pic>
      <xdr:nvPicPr>
        <xdr:cNvPr id="2" name="Picture 1">
          <a:extLst>
            <a:ext uri="{FF2B5EF4-FFF2-40B4-BE49-F238E27FC236}">
              <a16:creationId xmlns:a16="http://schemas.microsoft.com/office/drawing/2014/main" id="{4ADE716A-18E1-476C-ADC2-143E9543733A}"/>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83306</xdr:colOff>
      <xdr:row>22</xdr:row>
      <xdr:rowOff>107194</xdr:rowOff>
    </xdr:from>
    <xdr:to>
      <xdr:col>5</xdr:col>
      <xdr:colOff>428798</xdr:colOff>
      <xdr:row>60</xdr:row>
      <xdr:rowOff>167424</xdr:rowOff>
    </xdr:to>
    <xdr:pic>
      <xdr:nvPicPr>
        <xdr:cNvPr id="3" name="Picture 2">
          <a:extLst>
            <a:ext uri="{FF2B5EF4-FFF2-40B4-BE49-F238E27FC236}">
              <a16:creationId xmlns:a16="http://schemas.microsoft.com/office/drawing/2014/main" id="{8B92EBD3-A3F9-5906-BDAD-778C277C26CD}"/>
            </a:ext>
          </a:extLst>
        </xdr:cNvPr>
        <xdr:cNvPicPr>
          <a:picLocks noChangeAspect="1"/>
        </xdr:cNvPicPr>
      </xdr:nvPicPr>
      <xdr:blipFill>
        <a:blip xmlns:r="http://schemas.openxmlformats.org/officeDocument/2006/relationships" r:embed="rId1"/>
        <a:stretch>
          <a:fillRect/>
        </a:stretch>
      </xdr:blipFill>
      <xdr:spPr>
        <a:xfrm>
          <a:off x="83306" y="4065361"/>
          <a:ext cx="8822742" cy="6897063"/>
        </a:xfrm>
        <a:prstGeom prst="rect">
          <a:avLst/>
        </a:prstGeom>
        <a:ln>
          <a:solidFill>
            <a:schemeClr val="accent6"/>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43090</xdr:colOff>
      <xdr:row>21</xdr:row>
      <xdr:rowOff>128513</xdr:rowOff>
    </xdr:from>
    <xdr:to>
      <xdr:col>9</xdr:col>
      <xdr:colOff>551033</xdr:colOff>
      <xdr:row>29</xdr:row>
      <xdr:rowOff>135518</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43090" y="3906763"/>
          <a:ext cx="12536355" cy="1449059"/>
        </a:xfrm>
        <a:prstGeom prst="rect">
          <a:avLst/>
        </a:prstGeom>
        <a:ln w="19050">
          <a:solidFill>
            <a:schemeClr val="accent3"/>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rowhurst, Stacey" id="{25485ED3-42D9-422C-9A77-5F76F434CCD0}" userId="S::stacey.crowhurst@vanderbilt.edu::9bff91b9-a036-4fd8-91c7-d442dc172f21"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5475.475433564818" createdVersion="8" refreshedVersion="8" minRefreshableVersion="3" recordCount="55" xr:uid="{8AB1A1AE-C44F-47BF-8494-AC7DEEB3A20F}">
  <cacheSource type="worksheet">
    <worksheetSource ref="B3:Y81" sheet="Project Status"/>
  </cacheSource>
  <cacheFields count="23">
    <cacheField name="Capex / Opex" numFmtId="0">
      <sharedItems containsBlank="1" count="4">
        <s v="Operating"/>
        <s v="Capital"/>
        <s v="TBD"/>
        <m/>
      </sharedItems>
    </cacheField>
    <cacheField name="eBuilder" numFmtId="0">
      <sharedItems containsString="0" containsBlank="1" containsNumber="1" containsInteger="1" minValue="10085" maxValue="20982"/>
    </cacheField>
    <cacheField name="AiM" numFmtId="0">
      <sharedItems containsString="0" containsBlank="1" containsNumber="1" containsInteger="1" minValue="529" maxValue="36015"/>
    </cacheField>
    <cacheField name="Oracle" numFmtId="0">
      <sharedItems containsBlank="1"/>
    </cacheField>
    <cacheField name="School" numFmtId="0">
      <sharedItems containsBlank="1" count="12">
        <s v="21000 - Peabody College: Office of the Dean"/>
        <s v="18200 - Basic Sciences: Office of the Dean"/>
        <s v="19100 - Nursing: Business Affairs"/>
        <s v="17100 - Law: Business Affairs"/>
        <s v="13000 - Blair: Office of the Dean"/>
        <s v="14000 - Divinity: Office of the Dean"/>
        <s v="12000 - Arts and Science: Office of the Dean"/>
        <s v="15000 - Engineering: Office of the Dean"/>
        <s v="20000 - Owen: Office of the Dean"/>
        <s v="19000 - Nursing: Office of the Dean"/>
        <s v="10000 - Chancellor"/>
        <m/>
      </sharedItems>
    </cacheField>
    <cacheField name="Lookup" numFmtId="0">
      <sharedItems containsBlank="1" count="11">
        <s v="Peabody"/>
        <s v="SOM Basic Sciences"/>
        <s v="Nursing"/>
        <s v="Law"/>
        <s v="Blair"/>
        <s v="Divinity"/>
        <s v="Arts &amp; Science"/>
        <s v="Engineering"/>
        <s v="Owen"/>
        <s v="Other"/>
        <m/>
      </sharedItems>
    </cacheField>
    <cacheField name="Building" numFmtId="0">
      <sharedItems containsBlank="1" count="27">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 v="SC PHYSICS &amp; ASTRONOMY"/>
        <s v="BIOMOLECULAR NMR"/>
        <s v="VAUGHN HOME"/>
        <s v="FRIST HALL"/>
        <s v="NEELY AUDITORIUM"/>
        <s v="SEIGENTHALER CENTER"/>
        <s v="FURMAN HALL"/>
        <m/>
      </sharedItems>
    </cacheField>
    <cacheField name="Project" numFmtId="0">
      <sharedItems containsBlank="1" count="55">
        <s v="One Magnolia Circle - Modify/Upgrade Electrical and Grounding"/>
        <s v="MRB III - 4th Floor - Replace Controls (Phase 2)"/>
        <s v="Godchaux Hall - HVAC Upgrade"/>
        <s v="Law School - Fire Alarm System Replacement"/>
        <s v="Blair School of Music - Elevator #3 Modernization"/>
        <s v="Divinity Air Handling Unit Replacement, (5/6)- Phase 1"/>
        <s v="Bryan Building - Swing Space Renovation - A&amp;S Planning"/>
        <s v="Divinity Air Handling Unit Replacement,(1/3) - Phase 2 with Benton - FY26"/>
        <s v="Jesup - Roof Replacement"/>
        <s v="Wyatt Center - Window Replacement"/>
        <s v="Wyatt Center - VAV Replacement"/>
        <s v="Keck FEL - Roof Replacement"/>
        <s v="SC Chemistry (SC7) - Elevator 1 &amp; 2 Modernization"/>
        <s v="Wyatt Center - Roof Replacement"/>
        <s v="MRB III - Steam Coil Replacement"/>
        <s v="Blair School of Music - AHU - 1 Replacement -Phase 1 - FY25"/>
        <s v="Peabody Administration - Envelope Repairs"/>
        <s v="Benson Old Central - Replace Soffit and Doors"/>
        <s v="1025 16th Avenue - Mechanical and Electrical Upgrades"/>
        <s v="Keck FEL - Mechanical Upgrades"/>
        <s v="Wilson Hall - Fire Alarm Replacement"/>
        <s v="SC-7 Chemistry - SG-1 Removal and Connection to Central Plant Steam"/>
        <s v="SC-5 - Chemical Discharge Replacement"/>
        <s v="Wyatt Center - Elevator #2 Modernization"/>
        <s v="Buttrick Hall - 3rd Floor Inequality Renovations"/>
        <s v="MRB III - 9th Floor (with 4 ,5 &amp; 8) - Replace Controls (Phase 3)"/>
        <s v="Blair School of Music - Steam Line - FY 23"/>
        <s v="Owen - Roof Replacement (Third Level)"/>
        <s v="Six Magnolia Circle - Foundation Repairs"/>
        <s v="SC4 - Interstitial Space HVAC Modifications"/>
        <s v="OGSM Old Mechanical- Slate Roof &amp; Window Replacement"/>
        <s v="Law School - Sections 1, 2, &amp; 3  Roof Replacement"/>
        <s v="One Magnolia Circle - Retaining Wall Repair"/>
        <s v="SC6 - HVAC Upgrades - Feasibility Study"/>
        <s v="Wilson Hall - HVAC Replacement"/>
        <s v="SC5 - HVAC Replacement"/>
        <s v="Wyatt Center - HVAC Upgrades - Engineering Study"/>
        <s v="One Magnolia Circle - Elevator Modernization"/>
        <s v="Law School - Exterior Window Painting"/>
        <s v="NMR - Replace Air Compressors"/>
        <s v="Buttrick Hall - Elevator Upgrades"/>
        <s v="Benson Hall - Elevator Upgrades"/>
        <s v="Wilson Hall - Elevator Upgrades"/>
        <s v="Vaughn Home - Exterior Improvements"/>
        <s v="Frist Hall - Stairwell Roof Replacement"/>
        <s v="Blair School of Music - AHU 2/3 Replacement  - Phase 2 - FY26"/>
        <s v="Neely Auditorium - MEP Feasibility Study"/>
        <s v="Wilson Hall - Lighting Retrofit for 103 and 126"/>
        <s v="1025 16th Avenue - Security System Replacement"/>
        <s v="Seigenthaler Building - HVAC Improvements"/>
        <s v="Furman Hall - Elevator Modernization"/>
        <s v="Vaughn Home - Roof Replacement"/>
        <s v="1025 16th Avenue - Roof Replacement"/>
        <s v="Law School - Elevator 1 Modernization"/>
        <m/>
      </sharedItems>
    </cacheField>
    <cacheField name="Phase" numFmtId="0">
      <sharedItems containsBlank="1" count="9">
        <s v="Finalized"/>
        <s v="Construction"/>
        <s v="Warranty or Construction Closeout"/>
        <s v="Not Started"/>
        <s v="Award"/>
        <s v="Design"/>
        <s v="Financial Closeout"/>
        <s v="Programming or Planning"/>
        <m/>
      </sharedItems>
    </cacheField>
    <cacheField name="Manager" numFmtId="0">
      <sharedItems containsBlank="1"/>
    </cacheField>
    <cacheField name="Estimated total budget" numFmtId="164">
      <sharedItems containsString="0" containsBlank="1" containsNumber="1" minValue="0" maxValue="37472926.759999998"/>
    </cacheField>
    <cacheField name="Approved budget" numFmtId="164">
      <sharedItems containsSemiMixedTypes="0" containsString="0" containsNumber="1" minValue="0" maxValue="25895794.339999996"/>
    </cacheField>
    <cacheField name="Approved commitments" numFmtId="164">
      <sharedItems containsSemiMixedTypes="0" containsString="0" containsNumber="1" minValue="0" maxValue="23828507.420000002"/>
    </cacheField>
    <cacheField name="Projected commitments" numFmtId="164">
      <sharedItems containsSemiMixedTypes="0" containsString="0" containsNumber="1" minValue="0" maxValue="23877879.420000002"/>
    </cacheField>
    <cacheField name="Invoices Approved" numFmtId="164">
      <sharedItems containsSemiMixedTypes="0" containsString="0" containsNumber="1" minValue="0" maxValue="16025805.570000002"/>
    </cacheField>
    <cacheField name="Unallocated Reserve" numFmtId="164">
      <sharedItems containsString="0" containsBlank="1" containsNumber="1" minValue="0" maxValue="92965.86"/>
    </cacheField>
    <cacheField name="FY23 FRP Cash Transferred" numFmtId="164">
      <sharedItems containsSemiMixedTypes="0" containsString="0" containsNumber="1" minValue="0" maxValue="8797286.2599999998"/>
    </cacheField>
    <cacheField name="FY24 FRP Transferred" numFmtId="164">
      <sharedItems containsSemiMixedTypes="0" containsString="0" containsNumber="1" minValue="-119221" maxValue="11427472.939999999"/>
    </cacheField>
    <cacheField name="FY25 FRP Transferred" numFmtId="164">
      <sharedItems containsSemiMixedTypes="0" containsString="0" containsNumber="1" containsInteger="1" minValue="0" maxValue="0"/>
    </cacheField>
    <cacheField name="FY25 FRP Estimated" numFmtId="164">
      <sharedItems containsMixedTypes="1" containsNumber="1" containsInteger="1" minValue="0" maxValue="6439500"/>
    </cacheField>
    <cacheField name="FY25 FRP Total Contribution" numFmtId="164">
      <sharedItems containsMixedTypes="1" containsNumber="1" containsInteger="1" minValue="0" maxValue="6439500"/>
    </cacheField>
    <cacheField name="FY26 FRP Estimated" numFmtId="164">
      <sharedItems containsMixedTypes="1" containsNumber="1" containsInteger="1" minValue="0" maxValue="8430000"/>
    </cacheField>
    <cacheField name="Project status update" numFmtId="0">
      <sharedItems containsBlank="1" longText="1"/>
    </cacheField>
  </cacheFields>
  <extLst>
    <ext xmlns:x14="http://schemas.microsoft.com/office/spreadsheetml/2009/9/main" uri="{725AE2AE-9491-48be-B2B4-4EB974FC3084}">
      <x14:pivotCacheDefinition pivotCacheId="151328418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
  <r>
    <x v="0"/>
    <n v="10085"/>
    <n v="4591"/>
    <m/>
    <x v="0"/>
    <x v="0"/>
    <x v="0"/>
    <x v="0"/>
    <x v="0"/>
    <s v="Sean Rewers"/>
    <n v="17500"/>
    <n v="22000"/>
    <n v="17500"/>
    <n v="17500"/>
    <n v="17500"/>
    <n v="0"/>
    <n v="17500"/>
    <n v="0"/>
    <n v="0"/>
    <n v="0"/>
    <n v="0"/>
    <n v="0"/>
    <s v="03/22/2023 Project is in closeout."/>
  </r>
  <r>
    <x v="1"/>
    <n v="10098"/>
    <n v="1627"/>
    <s v="CP_400023"/>
    <x v="1"/>
    <x v="1"/>
    <x v="1"/>
    <x v="1"/>
    <x v="0"/>
    <s v="Hans Mooy"/>
    <n v="1216485.5"/>
    <n v="1216485.5"/>
    <n v="1212084.54"/>
    <n v="1212084.54"/>
    <n v="1212084.54"/>
    <n v="0"/>
    <n v="1216485.5"/>
    <n v="-4400.96"/>
    <n v="0"/>
    <n v="0"/>
    <n v="0"/>
    <n v="0"/>
    <s v="08/22/2023 project complete"/>
  </r>
  <r>
    <x v="1"/>
    <n v="10146"/>
    <n v="4418"/>
    <s v="CP_400025"/>
    <x v="2"/>
    <x v="2"/>
    <x v="2"/>
    <x v="2"/>
    <x v="1"/>
    <s v="Sean Rewers"/>
    <n v="318000"/>
    <n v="318057"/>
    <n v="241766.9"/>
    <n v="241766.9"/>
    <n v="116075.13"/>
    <m/>
    <n v="4900"/>
    <n v="255957"/>
    <n v="0"/>
    <n v="0"/>
    <n v="0"/>
    <n v="0"/>
    <s v="06/26/2024 Piping has been installed in hallway, connected to chilled water valves, and run into the mechanical room. Plenum has be reworked to allow access for chilled water lines. Have a UO scheduled to connect the building to chilled water the first week of July. Hallway will be repaired after testing and insulation of piping. Crane lift to remove chillers and pumps is tentatively mid-July."/>
  </r>
  <r>
    <x v="1"/>
    <n v="20179"/>
    <n v="36015"/>
    <s v="CP_400024"/>
    <x v="3"/>
    <x v="3"/>
    <x v="3"/>
    <x v="3"/>
    <x v="2"/>
    <s v="Bob Grummon"/>
    <n v="1445389"/>
    <n v="1445389"/>
    <n v="1352423.14"/>
    <n v="1352423.14"/>
    <n v="1352423.14"/>
    <n v="92965.86"/>
    <n v="722694.5"/>
    <n v="0"/>
    <n v="0"/>
    <n v="0"/>
    <n v="0"/>
    <n v="0"/>
    <s v="06/26/2024 work is complete"/>
  </r>
  <r>
    <x v="1"/>
    <n v="20336"/>
    <n v="20075"/>
    <s v="CP_400056"/>
    <x v="4"/>
    <x v="4"/>
    <x v="4"/>
    <x v="4"/>
    <x v="0"/>
    <s v="Ben Bedock"/>
    <n v="327890"/>
    <n v="327890"/>
    <n v="280600"/>
    <n v="280600"/>
    <n v="280600"/>
    <m/>
    <n v="327890"/>
    <n v="-47290"/>
    <n v="0"/>
    <n v="0"/>
    <n v="0"/>
    <n v="0"/>
    <s v="01/22/2024 Project complete.  Waiting on final invoice to clear to begin the financial closeout process."/>
  </r>
  <r>
    <x v="1"/>
    <n v="20431"/>
    <n v="8084"/>
    <s v="CP_400108"/>
    <x v="5"/>
    <x v="5"/>
    <x v="5"/>
    <x v="5"/>
    <x v="1"/>
    <s v="Hans Mooy"/>
    <n v="3800000"/>
    <n v="3800000"/>
    <n v="3582817.72"/>
    <n v="3607017.72"/>
    <n v="2806495.03"/>
    <m/>
    <n v="69862.5"/>
    <n v="3660360"/>
    <n v="0"/>
    <n v="0"/>
    <n v="0"/>
    <n v="0"/>
    <s v="06/24/2024 Project on schedule and on budget."/>
  </r>
  <r>
    <x v="1"/>
    <n v="20478"/>
    <n v="8672"/>
    <s v="CP_400182"/>
    <x v="6"/>
    <x v="6"/>
    <x v="6"/>
    <x v="6"/>
    <x v="2"/>
    <s v="Cathy Bartlett"/>
    <n v="2790000"/>
    <n v="2790000"/>
    <n v="2776273.72"/>
    <n v="2776273.72"/>
    <n v="2495888.9900000002"/>
    <m/>
    <n v="81100"/>
    <n v="1028900"/>
    <n v="0"/>
    <n v="0"/>
    <n v="0"/>
    <n v="0"/>
    <s v="07/01/2024 Partial roof replacement and RTU's are substantially complete. Door hardware will be replaced then project will be closed out."/>
  </r>
  <r>
    <x v="1"/>
    <n v="20489"/>
    <n v="8051"/>
    <s v="CP_400183"/>
    <x v="5"/>
    <x v="5"/>
    <x v="5"/>
    <x v="7"/>
    <x v="3"/>
    <s v="Hans Mooy"/>
    <n v="4650000"/>
    <n v="26500"/>
    <n v="15895"/>
    <n v="15895"/>
    <n v="14407.5"/>
    <m/>
    <n v="26500"/>
    <n v="0"/>
    <n v="0"/>
    <n v="0"/>
    <n v="0"/>
    <n v="3170000"/>
    <s v="10/23/2023 On Hold till FY26"/>
  </r>
  <r>
    <x v="1"/>
    <n v="20497"/>
    <n v="529"/>
    <s v="CP_400127"/>
    <x v="0"/>
    <x v="0"/>
    <x v="7"/>
    <x v="8"/>
    <x v="0"/>
    <s v="Ben Bedock"/>
    <n v="456850"/>
    <n v="456850"/>
    <n v="412000"/>
    <n v="412000"/>
    <n v="412000"/>
    <m/>
    <n v="79415.5"/>
    <n v="-44850"/>
    <n v="0"/>
    <n v="0"/>
    <n v="0"/>
    <n v="0"/>
    <s v="09/22/2023 Project complete.  Financial closeout process to begin after confirmation that all invoices have been submitted, approved and cleared."/>
  </r>
  <r>
    <x v="1"/>
    <n v="20506"/>
    <n v="1170"/>
    <s v="CP_400192"/>
    <x v="0"/>
    <x v="0"/>
    <x v="8"/>
    <x v="9"/>
    <x v="0"/>
    <s v="Ben Bedock"/>
    <n v="344155.26"/>
    <n v="344155.26"/>
    <n v="307776.26"/>
    <n v="307776.26"/>
    <n v="307776.26"/>
    <m/>
    <n v="344155.26"/>
    <n v="-36379"/>
    <n v="0"/>
    <n v="0"/>
    <n v="0"/>
    <n v="0"/>
    <s v="09/22/2023 Project complete.  Financial closeout process to begin after confirmation that all invoices have been submitted, approved and cleared."/>
  </r>
  <r>
    <x v="1"/>
    <n v="20562"/>
    <n v="4564"/>
    <s v="CP_400175"/>
    <x v="0"/>
    <x v="0"/>
    <x v="8"/>
    <x v="10"/>
    <x v="0"/>
    <s v="Sean Rewers"/>
    <n v="400000"/>
    <n v="405791"/>
    <n v="362559.64"/>
    <n v="362559.64"/>
    <n v="362559.64"/>
    <m/>
    <n v="405791"/>
    <n v="-43231.360000000001"/>
    <n v="0"/>
    <n v="0"/>
    <n v="0"/>
    <n v="0"/>
    <s v="01/22/2024 Project is in closeout"/>
  </r>
  <r>
    <x v="2"/>
    <n v="20563"/>
    <n v="4624"/>
    <m/>
    <x v="7"/>
    <x v="7"/>
    <x v="9"/>
    <x v="11"/>
    <x v="3"/>
    <s v="Ben Bedock"/>
    <n v="386000"/>
    <n v="0"/>
    <n v="0"/>
    <n v="0"/>
    <n v="0"/>
    <m/>
    <n v="0"/>
    <n v="0"/>
    <n v="0"/>
    <n v="0"/>
    <n v="0"/>
    <s v="TBD"/>
    <s v="03/24/2023 Working with appropriate parties to determine scope of work."/>
  </r>
  <r>
    <x v="1"/>
    <n v="20566"/>
    <n v="20054"/>
    <s v="CP_400151"/>
    <x v="6"/>
    <x v="6"/>
    <x v="10"/>
    <x v="12"/>
    <x v="0"/>
    <s v="Ben Bedock"/>
    <n v="781870"/>
    <n v="781870"/>
    <n v="722586.68"/>
    <n v="722586.68"/>
    <n v="722586.68"/>
    <m/>
    <n v="781870"/>
    <n v="-59283.32"/>
    <n v="0"/>
    <n v="0"/>
    <n v="0"/>
    <n v="0"/>
    <s v="11/22/2023 Project complete.  Waiting on final invoice to clear to begin the financial closeout process."/>
  </r>
  <r>
    <x v="1"/>
    <n v="20573"/>
    <n v="8047"/>
    <s v="CP_400185"/>
    <x v="0"/>
    <x v="0"/>
    <x v="8"/>
    <x v="13"/>
    <x v="0"/>
    <s v="Ben Bedock"/>
    <n v="1232681"/>
    <n v="1232681"/>
    <n v="1113460"/>
    <n v="1113460"/>
    <n v="1113460"/>
    <m/>
    <n v="1232681"/>
    <n v="-119221"/>
    <n v="0"/>
    <n v="0"/>
    <n v="0"/>
    <n v="0"/>
    <s v="01/22/2024 Project is complete.  Waiting on final invoice to clear to begin the closeout process."/>
  </r>
  <r>
    <x v="1"/>
    <n v="20574"/>
    <n v="8145"/>
    <s v="CP_400164"/>
    <x v="1"/>
    <x v="1"/>
    <x v="1"/>
    <x v="14"/>
    <x v="0"/>
    <s v="Sean Rewers"/>
    <n v="218202"/>
    <n v="218202"/>
    <n v="195665"/>
    <n v="195665"/>
    <n v="195665"/>
    <m/>
    <n v="218202"/>
    <n v="-22537"/>
    <n v="0"/>
    <n v="0"/>
    <n v="0"/>
    <n v="0"/>
    <s v="01/22/2024 Project is in closeout"/>
  </r>
  <r>
    <x v="1"/>
    <n v="20577"/>
    <n v="8146"/>
    <s v="CP_400154"/>
    <x v="4"/>
    <x v="4"/>
    <x v="4"/>
    <x v="15"/>
    <x v="4"/>
    <s v="Hans Mooy"/>
    <n v="1500000"/>
    <n v="223000"/>
    <n v="220566.21"/>
    <n v="220566.21"/>
    <n v="185191.21"/>
    <m/>
    <n v="223000"/>
    <n v="0"/>
    <n v="0"/>
    <n v="1300000"/>
    <n v="1300000"/>
    <n v="2510000"/>
    <s v="06/24/2024 Kick-off meeting on 0722/24"/>
  </r>
  <r>
    <x v="1"/>
    <n v="20644"/>
    <n v="8241"/>
    <s v="CP_400171"/>
    <x v="0"/>
    <x v="0"/>
    <x v="11"/>
    <x v="16"/>
    <x v="0"/>
    <s v="Ben Bedock"/>
    <n v="630554"/>
    <n v="630554"/>
    <n v="571789"/>
    <n v="571789"/>
    <n v="571789"/>
    <m/>
    <n v="630554"/>
    <n v="-58765"/>
    <n v="0"/>
    <n v="0"/>
    <n v="0"/>
    <n v="0"/>
    <s v="10/23/2023 Project complete.  Waiting on final invoice to clear to begin the financial closeout process."/>
  </r>
  <r>
    <x v="0"/>
    <n v="20645"/>
    <n v="8239"/>
    <m/>
    <x v="6"/>
    <x v="6"/>
    <x v="12"/>
    <x v="17"/>
    <x v="0"/>
    <s v="Ben Bedock"/>
    <n v="125875"/>
    <n v="125875"/>
    <n v="114350"/>
    <n v="114350"/>
    <n v="114350"/>
    <m/>
    <n v="125875"/>
    <n v="-11525"/>
    <n v="0"/>
    <n v="0"/>
    <n v="0"/>
    <n v="0"/>
    <s v="02/26/2024 Punchlist items have been discussed with the contractor.  Once items are completed, project is ready to closeout."/>
  </r>
  <r>
    <x v="1"/>
    <n v="20667"/>
    <n v="8168"/>
    <s v="CP_400160"/>
    <x v="7"/>
    <x v="7"/>
    <x v="13"/>
    <x v="18"/>
    <x v="5"/>
    <s v="Sean Rewers"/>
    <n v="2000000"/>
    <n v="146500"/>
    <n v="146500"/>
    <n v="146500"/>
    <n v="57500"/>
    <m/>
    <n v="146500"/>
    <n v="0"/>
    <n v="0"/>
    <n v="2000000"/>
    <n v="2000000"/>
    <n v="0"/>
    <s v="06/26/2024 Final design review scheduled for July 1. Will have out to bid near end of the summer."/>
  </r>
  <r>
    <x v="1"/>
    <n v="20668"/>
    <n v="8151"/>
    <s v="CP_400163"/>
    <x v="7"/>
    <x v="7"/>
    <x v="9"/>
    <x v="19"/>
    <x v="5"/>
    <s v="Sean Rewers"/>
    <n v="0"/>
    <n v="231433"/>
    <n v="231433"/>
    <n v="231433"/>
    <n v="89710"/>
    <m/>
    <n v="206500"/>
    <n v="24933"/>
    <n v="0"/>
    <s v="TBD"/>
    <s v="TBD"/>
    <n v="0"/>
    <s v="06/26/2024 We are awaiting definitive plans from the CUI project to determine where our chilled water connection will be. If hot water goes past the building as part of CUI we will rework the design to include hot water connection."/>
  </r>
  <r>
    <x v="1"/>
    <n v="20698"/>
    <n v="1138"/>
    <s v="CP_400168"/>
    <x v="6"/>
    <x v="6"/>
    <x v="14"/>
    <x v="20"/>
    <x v="1"/>
    <s v="Sean Rewers"/>
    <n v="680000"/>
    <n v="678513"/>
    <n v="583771"/>
    <n v="583771"/>
    <n v="243015.9"/>
    <m/>
    <n v="29250"/>
    <n v="649263"/>
    <n v="0"/>
    <n v="0"/>
    <n v="0"/>
    <n v="0"/>
    <s v="06/27/2024 Animal lab wiil be completed by the end of June. All electrical is finished except punchlist items. FCP is ready to start flipping over floors starting in July. Project is ahead of schedule."/>
  </r>
  <r>
    <x v="0"/>
    <n v="20700"/>
    <n v="851"/>
    <m/>
    <x v="6"/>
    <x v="6"/>
    <x v="10"/>
    <x v="21"/>
    <x v="0"/>
    <s v="Sean Rewers"/>
    <n v="80000"/>
    <n v="85577"/>
    <n v="85576.77"/>
    <n v="85576.77"/>
    <n v="85576.77"/>
    <m/>
    <n v="79623"/>
    <n v="5954"/>
    <n v="0"/>
    <n v="0"/>
    <n v="0"/>
    <n v="0"/>
    <s v="11/27/2023 Project is in closeout"/>
  </r>
  <r>
    <x v="1"/>
    <n v="20701"/>
    <n v="4399"/>
    <s v="CP_400198"/>
    <x v="6"/>
    <x v="6"/>
    <x v="15"/>
    <x v="22"/>
    <x v="4"/>
    <s v="Sean Rewers"/>
    <n v="500000"/>
    <n v="499093"/>
    <n v="400593"/>
    <n v="400593"/>
    <n v="14400"/>
    <m/>
    <n v="499093"/>
    <n v="0"/>
    <n v="0"/>
    <n v="0"/>
    <n v="0"/>
    <n v="0"/>
    <s v="06/26/2024 FM Sylvan was awarded this project, and we are awaiting a PO. A&amp;S stated winter 2024 is the best time to do this project. Lead time for equipment is 10-12 weeks."/>
  </r>
  <r>
    <x v="1"/>
    <n v="20702"/>
    <n v="8432"/>
    <s v="CP_400165"/>
    <x v="0"/>
    <x v="0"/>
    <x v="8"/>
    <x v="23"/>
    <x v="0"/>
    <s v="Ben Bedock"/>
    <n v="225791"/>
    <n v="239341"/>
    <n v="209419"/>
    <n v="209419"/>
    <n v="209419"/>
    <m/>
    <n v="239341"/>
    <n v="-29922"/>
    <n v="0"/>
    <n v="0"/>
    <n v="0"/>
    <n v="0"/>
    <s v="12/18/2023 Project complete.  Waiting on final invoice to clear to begin the financial closeout process."/>
  </r>
  <r>
    <x v="1"/>
    <n v="20718"/>
    <n v="8608"/>
    <s v="CP_400174"/>
    <x v="6"/>
    <x v="6"/>
    <x v="16"/>
    <x v="24"/>
    <x v="0"/>
    <s v="Erin Fry"/>
    <n v="715000"/>
    <n v="715000"/>
    <n v="656784.6"/>
    <n v="656784.6"/>
    <n v="656576.59"/>
    <m/>
    <n v="96166"/>
    <n v="0"/>
    <n v="0"/>
    <n v="0"/>
    <n v="0"/>
    <n v="0"/>
    <s v="02/23/2024 Construction complete. Library Closeout process complete. The Financial closeout process has been started."/>
  </r>
  <r>
    <x v="1"/>
    <n v="20723"/>
    <n v="1628"/>
    <s v="CP_400187"/>
    <x v="1"/>
    <x v="1"/>
    <x v="1"/>
    <x v="25"/>
    <x v="4"/>
    <s v="Andy Maddox"/>
    <n v="1610000"/>
    <n v="160500"/>
    <n v="155232.51999999999"/>
    <n v="155232.51999999999"/>
    <n v="138595.01999999999"/>
    <m/>
    <n v="160500"/>
    <n v="0"/>
    <n v="0"/>
    <n v="1539500"/>
    <n v="1539500"/>
    <n v="0"/>
    <s v="06/26/2024 This is an FY25 project.  Chancellor memo has been submitted for approval.  Andy will schedule a kickoff meeting with Anthony Tharp in mid-July."/>
  </r>
  <r>
    <x v="1"/>
    <n v="20724"/>
    <n v="8557"/>
    <s v="CP_400178"/>
    <x v="4"/>
    <x v="4"/>
    <x v="4"/>
    <x v="26"/>
    <x v="1"/>
    <s v="Hans Mooy"/>
    <n v="1987500"/>
    <n v="1987500"/>
    <n v="1784625"/>
    <n v="1784625"/>
    <n v="1064006.6499999999"/>
    <m/>
    <n v="23400"/>
    <n v="1964100"/>
    <n v="0"/>
    <n v="0"/>
    <n v="0"/>
    <n v="0"/>
    <s v="06/24/2024 Project under budget and on schedule"/>
  </r>
  <r>
    <x v="0"/>
    <n v="20735"/>
    <n v="8226"/>
    <m/>
    <x v="8"/>
    <x v="8"/>
    <x v="17"/>
    <x v="27"/>
    <x v="6"/>
    <s v="Ben Bedock"/>
    <n v="300000"/>
    <n v="300000"/>
    <n v="276500"/>
    <n v="276500"/>
    <n v="276500"/>
    <n v="0"/>
    <n v="300000"/>
    <n v="-23500"/>
    <n v="0"/>
    <n v="0"/>
    <n v="0"/>
    <n v="0"/>
    <s v="04/23/2024 Project is complete."/>
  </r>
  <r>
    <x v="1"/>
    <n v="20767"/>
    <n v="8673"/>
    <s v="CP_400242"/>
    <x v="0"/>
    <x v="0"/>
    <x v="18"/>
    <x v="28"/>
    <x v="1"/>
    <s v="Jay Surprenant"/>
    <n v="149000"/>
    <n v="148299"/>
    <n v="125699"/>
    <n v="125699"/>
    <n v="0"/>
    <m/>
    <n v="0"/>
    <n v="148299"/>
    <n v="0"/>
    <n v="0"/>
    <n v="0"/>
    <n v="0"/>
    <s v="06/27/2024 Project is 80% complete.  Interior work scheduled for 7/22.  Exterior work is nearly complete as of 6/28"/>
  </r>
  <r>
    <x v="0"/>
    <n v="20771"/>
    <n v="8674"/>
    <m/>
    <x v="6"/>
    <x v="6"/>
    <x v="10"/>
    <x v="29"/>
    <x v="0"/>
    <s v="Sean Rewers"/>
    <n v="25000"/>
    <n v="24997"/>
    <n v="17972"/>
    <n v="17972"/>
    <n v="17972"/>
    <m/>
    <n v="24997"/>
    <n v="-7025"/>
    <n v="0"/>
    <n v="0"/>
    <n v="0"/>
    <n v="0"/>
    <s v="07/24/2023 Project is complete. I will begin closeout after taking some final photos of the space."/>
  </r>
  <r>
    <x v="1"/>
    <n v="20772"/>
    <n v="8675"/>
    <s v="CP_400235"/>
    <x v="8"/>
    <x v="8"/>
    <x v="17"/>
    <x v="30"/>
    <x v="1"/>
    <s v="Ben Bedock"/>
    <n v="3200000"/>
    <n v="3200000"/>
    <n v="2936840.14"/>
    <n v="2936840.14"/>
    <n v="0"/>
    <m/>
    <n v="0"/>
    <n v="1600000"/>
    <n v="0"/>
    <n v="1600000"/>
    <n v="1600000"/>
    <n v="0"/>
    <s v="06/27/2024 Slate roof has been removed and new water vaper barrier has been installed.  Copper work is scheduled to start 07/01.  Windows have been delayed to a mid August delivery and installation.  This will not affect the overall schedule of a 12/31/2024 completion."/>
  </r>
  <r>
    <x v="1"/>
    <n v="20792"/>
    <n v="1035"/>
    <s v="CP_400206"/>
    <x v="3"/>
    <x v="3"/>
    <x v="3"/>
    <x v="31"/>
    <x v="0"/>
    <s v="Ben Bedock"/>
    <n v="400000"/>
    <n v="483440"/>
    <n v="450775"/>
    <n v="450775"/>
    <n v="450775"/>
    <m/>
    <n v="483440"/>
    <n v="-32665"/>
    <n v="0"/>
    <n v="0"/>
    <n v="0"/>
    <n v="0"/>
    <s v="12/18/2023 Construction complete.  Waiting on final invoices to clear to begin the closeout process."/>
  </r>
  <r>
    <x v="1"/>
    <n v="20811"/>
    <m/>
    <s v="CP_400224"/>
    <x v="0"/>
    <x v="0"/>
    <x v="0"/>
    <x v="32"/>
    <x v="1"/>
    <s v="Ben Bedock"/>
    <n v="75000"/>
    <n v="285233.27"/>
    <n v="243124.27"/>
    <n v="243124.27"/>
    <n v="51320"/>
    <m/>
    <n v="0"/>
    <n v="285233.27"/>
    <n v="0"/>
    <n v="0"/>
    <n v="0"/>
    <n v="0"/>
    <s v="06/27/2024 We have received revised drawings from the engineer.  Drawings have been sent to the contractor.   Awaiting start date and revised pricing."/>
  </r>
  <r>
    <x v="0"/>
    <n v="20831"/>
    <n v="8230"/>
    <m/>
    <x v="6"/>
    <x v="6"/>
    <x v="19"/>
    <x v="33"/>
    <x v="0"/>
    <s v="Sean Rewers"/>
    <n v="24000"/>
    <n v="24000"/>
    <n v="24000"/>
    <n v="24000"/>
    <n v="24000"/>
    <m/>
    <n v="0"/>
    <n v="24000"/>
    <n v="0"/>
    <n v="0"/>
    <n v="0"/>
    <n v="0"/>
    <s v="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
  </r>
  <r>
    <x v="0"/>
    <n v="20832"/>
    <n v="8220"/>
    <m/>
    <x v="6"/>
    <x v="6"/>
    <x v="14"/>
    <x v="34"/>
    <x v="0"/>
    <s v="Sean Rewers"/>
    <n v="24000"/>
    <n v="24000"/>
    <n v="24000"/>
    <n v="24000"/>
    <n v="24000"/>
    <m/>
    <n v="0"/>
    <n v="24000"/>
    <n v="0"/>
    <n v="0"/>
    <n v="0"/>
    <n v="0"/>
    <s v="01/22/2024 Project study and estimated pricing is complete. Project in closeout."/>
  </r>
  <r>
    <x v="0"/>
    <n v="20833"/>
    <n v="8215"/>
    <m/>
    <x v="6"/>
    <x v="6"/>
    <x v="15"/>
    <x v="35"/>
    <x v="6"/>
    <s v="Sean Rewers"/>
    <n v="24000"/>
    <n v="24000"/>
    <n v="24000"/>
    <n v="24000"/>
    <n v="24000"/>
    <m/>
    <n v="0"/>
    <n v="24000"/>
    <n v="0"/>
    <n v="0"/>
    <n v="0"/>
    <n v="0"/>
    <s v="04/24/2024 Project is in closeout"/>
  </r>
  <r>
    <x v="0"/>
    <n v="20834"/>
    <m/>
    <m/>
    <x v="0"/>
    <x v="0"/>
    <x v="8"/>
    <x v="36"/>
    <x v="0"/>
    <s v="Sean Rewers"/>
    <n v="5000"/>
    <n v="0"/>
    <n v="0"/>
    <n v="0"/>
    <n v="0"/>
    <m/>
    <n v="0"/>
    <n v="0"/>
    <n v="0"/>
    <n v="0"/>
    <n v="0"/>
    <n v="0"/>
    <s v="09/27/2023 This project is on hold until October. We are awaiting approval from the CBO for initial funding which will be repaid by the FRP."/>
  </r>
  <r>
    <x v="1"/>
    <n v="20857"/>
    <n v="8427"/>
    <s v="CP_400227"/>
    <x v="0"/>
    <x v="0"/>
    <x v="0"/>
    <x v="37"/>
    <x v="1"/>
    <s v="Ben Bedock"/>
    <n v="499184"/>
    <n v="499184"/>
    <n v="461612"/>
    <n v="461612"/>
    <n v="138403.42000000001"/>
    <m/>
    <n v="0"/>
    <n v="499184"/>
    <n v="0"/>
    <n v="0"/>
    <n v="0"/>
    <n v="0"/>
    <s v="06/27/2024 PO has been issued and we are currently waiting on the submittals for review.  Construction to start in October."/>
  </r>
  <r>
    <x v="1"/>
    <n v="20884"/>
    <m/>
    <s v="CP_400251"/>
    <x v="3"/>
    <x v="3"/>
    <x v="3"/>
    <x v="38"/>
    <x v="1"/>
    <s v="Ben Bedock"/>
    <n v="0"/>
    <n v="675650"/>
    <n v="551283"/>
    <n v="551283"/>
    <n v="81894"/>
    <m/>
    <n v="0"/>
    <n v="675650"/>
    <n v="0"/>
    <n v="0"/>
    <n v="0"/>
    <n v="0"/>
    <s v="06/27/2024 05/29/2024 VUMO is managing this project.  CPC is helping with the PO process.  PO has been issued.  Scaffolding is up around the building."/>
  </r>
  <r>
    <x v="0"/>
    <n v="20885"/>
    <n v="8676"/>
    <m/>
    <x v="6"/>
    <x v="6"/>
    <x v="20"/>
    <x v="39"/>
    <x v="4"/>
    <s v="Sean Rewers"/>
    <n v="99000"/>
    <n v="113053.4"/>
    <n v="97943.4"/>
    <n v="97943.4"/>
    <n v="0"/>
    <m/>
    <n v="0"/>
    <n v="113053.4"/>
    <n v="0"/>
    <n v="0"/>
    <n v="0"/>
    <n v="0"/>
    <s v="06/26/2024 Equipment is due to arrive in July, but we are currently working on schedule. This project will require a UO and we are working with lab occupants to find best time. Mark Harrington has been brought up to speed on the project and is helping to coordinate."/>
  </r>
  <r>
    <x v="1"/>
    <n v="20911"/>
    <n v="8819"/>
    <m/>
    <x v="6"/>
    <x v="6"/>
    <x v="16"/>
    <x v="40"/>
    <x v="1"/>
    <s v="Ben Bedock"/>
    <n v="75000"/>
    <n v="61045"/>
    <n v="54613"/>
    <n v="54613"/>
    <n v="27256.5"/>
    <m/>
    <n v="0"/>
    <n v="61045"/>
    <n v="0"/>
    <n v="0"/>
    <n v="0"/>
    <n v="0"/>
    <s v="06/27/2024 Components are currently in production.  Awaiting delivery to start replacement of the jacks."/>
  </r>
  <r>
    <x v="1"/>
    <n v="20912"/>
    <n v="8822"/>
    <m/>
    <x v="6"/>
    <x v="6"/>
    <x v="12"/>
    <x v="41"/>
    <x v="1"/>
    <s v="Ben Bedock"/>
    <n v="75000"/>
    <n v="59798"/>
    <n v="53366"/>
    <n v="53366"/>
    <n v="26632.55"/>
    <m/>
    <n v="0"/>
    <n v="59798"/>
    <n v="0"/>
    <n v="0"/>
    <n v="0"/>
    <n v="0"/>
    <s v="06/27/2024 Components are currently in production.  Awaiting delivery to start replacement of the jacks."/>
  </r>
  <r>
    <x v="1"/>
    <n v="20913"/>
    <n v="8818"/>
    <m/>
    <x v="6"/>
    <x v="6"/>
    <x v="14"/>
    <x v="42"/>
    <x v="1"/>
    <s v="Ben Bedock"/>
    <n v="75000"/>
    <n v="96612"/>
    <n v="86900"/>
    <n v="86900"/>
    <n v="43400.05"/>
    <m/>
    <n v="0"/>
    <n v="96612"/>
    <n v="0"/>
    <n v="0"/>
    <n v="0"/>
    <n v="0"/>
    <s v="06/27/2024 Components are currently in production.  Awaiting delivery to start replacement of the jacks."/>
  </r>
  <r>
    <x v="1"/>
    <n v="20922"/>
    <n v="8914"/>
    <s v="CP_400263"/>
    <x v="6"/>
    <x v="6"/>
    <x v="21"/>
    <x v="43"/>
    <x v="4"/>
    <s v="Jay Surprenant"/>
    <n v="170000"/>
    <n v="197150"/>
    <n v="170000"/>
    <n v="170000"/>
    <n v="0"/>
    <m/>
    <n v="0"/>
    <n v="197150"/>
    <n v="0"/>
    <n v="0"/>
    <n v="0"/>
    <n v="0"/>
    <s v="06/27/2024 Project started, front porch demo completed.  Framing to begin 7/1.  No delays anticipated."/>
  </r>
  <r>
    <x v="0"/>
    <n v="20924"/>
    <m/>
    <m/>
    <x v="9"/>
    <x v="2"/>
    <x v="22"/>
    <x v="44"/>
    <x v="1"/>
    <s v="Ben Bedock"/>
    <n v="0"/>
    <n v="30570"/>
    <n v="24500"/>
    <n v="24500"/>
    <n v="0"/>
    <m/>
    <n v="0"/>
    <n v="30570"/>
    <n v="0"/>
    <n v="0"/>
    <n v="0"/>
    <n v="0"/>
    <s v="06/27/2024 /Construction is scheduled to start 07/01 and be completed by 07/05"/>
  </r>
  <r>
    <x v="1"/>
    <n v="20925"/>
    <m/>
    <m/>
    <x v="4"/>
    <x v="4"/>
    <x v="4"/>
    <x v="45"/>
    <x v="3"/>
    <s v="Hans Mooy"/>
    <n v="2750000"/>
    <n v="0"/>
    <n v="0"/>
    <n v="0"/>
    <n v="0"/>
    <m/>
    <n v="0"/>
    <n v="0"/>
    <n v="0"/>
    <n v="0"/>
    <n v="0"/>
    <n v="2750000"/>
    <s v="05/21/2024 waiting for FY 26 funding"/>
  </r>
  <r>
    <x v="2"/>
    <n v="20934"/>
    <m/>
    <m/>
    <x v="6"/>
    <x v="6"/>
    <x v="23"/>
    <x v="46"/>
    <x v="3"/>
    <s v="Sean Rewers"/>
    <m/>
    <n v="0"/>
    <n v="0"/>
    <n v="0"/>
    <n v="0"/>
    <m/>
    <n v="0"/>
    <n v="0"/>
    <n v="0"/>
    <s v="TBD"/>
    <s v="TBD"/>
    <n v="0"/>
    <s v="New project, not yet started."/>
  </r>
  <r>
    <x v="2"/>
    <n v="20936"/>
    <n v="8814"/>
    <m/>
    <x v="6"/>
    <x v="6"/>
    <x v="14"/>
    <x v="47"/>
    <x v="1"/>
    <s v="Jay Surprenant"/>
    <n v="405000"/>
    <n v="404655.91"/>
    <n v="357255.91"/>
    <n v="357255.91"/>
    <n v="0"/>
    <m/>
    <n v="0"/>
    <n v="404655.91"/>
    <n v="0"/>
    <n v="0"/>
    <n v="0"/>
    <n v="0"/>
    <s v="06/27/2024 Scaffolding installed, work to begin 7/1.  No delays anticipated."/>
  </r>
  <r>
    <x v="2"/>
    <n v="20940"/>
    <m/>
    <m/>
    <x v="7"/>
    <x v="7"/>
    <x v="13"/>
    <x v="48"/>
    <x v="7"/>
    <s v="Sean Rewers"/>
    <n v="0"/>
    <n v="0"/>
    <n v="0"/>
    <n v="0"/>
    <n v="0"/>
    <m/>
    <n v="0"/>
    <n v="0"/>
    <n v="0"/>
    <s v="TBD"/>
    <s v="TBD"/>
    <n v="0"/>
    <s v="06/26/2024 05/28/2024 Scope of work has been completed for card reader upgrades. We have received scope of work for the camera install, awaiting cut sheets. Project will go out to bid in July"/>
  </r>
  <r>
    <x v="0"/>
    <n v="20945"/>
    <m/>
    <m/>
    <x v="10"/>
    <x v="9"/>
    <x v="24"/>
    <x v="49"/>
    <x v="1"/>
    <s v="Sean Rewers"/>
    <n v="99000"/>
    <n v="99000"/>
    <n v="75900"/>
    <n v="82897"/>
    <n v="0"/>
    <m/>
    <n v="0"/>
    <n v="99000"/>
    <n v="0"/>
    <n v="0"/>
    <n v="0"/>
    <n v="0"/>
    <s v="06/26/2024 Old building has had all VAVs repaired. Nashville Machine is working on the new building currently and throughout July. We are awaiting a CO for repairs to the hot water pumps in the old building, and the zone will pay for duct cleaning on AHU 2 in the old building."/>
  </r>
  <r>
    <x v="2"/>
    <n v="20958"/>
    <m/>
    <s v="CP_400256"/>
    <x v="6"/>
    <x v="6"/>
    <x v="25"/>
    <x v="50"/>
    <x v="5"/>
    <s v="Ben Bedock"/>
    <n v="290000"/>
    <n v="18175"/>
    <n v="18175"/>
    <n v="18175"/>
    <n v="0"/>
    <m/>
    <n v="0"/>
    <n v="18175"/>
    <n v="0"/>
    <s v="TBD"/>
    <s v="TBD"/>
    <n v="0"/>
    <s v="06/27/2024 Lerch Bates PO has been issued and we are working through the scope of work.  This is going to be a summer 25 project."/>
  </r>
  <r>
    <x v="2"/>
    <n v="20962"/>
    <n v="8754"/>
    <m/>
    <x v="6"/>
    <x v="6"/>
    <x v="21"/>
    <x v="51"/>
    <x v="7"/>
    <s v="Ben Bedock"/>
    <n v="0"/>
    <n v="0"/>
    <n v="0"/>
    <n v="0"/>
    <n v="0"/>
    <m/>
    <n v="0"/>
    <n v="0"/>
    <n v="0"/>
    <s v="TBD"/>
    <s v="TBD"/>
    <n v="0"/>
    <s v="06/27/2024 Working with the appropriate parties to determine the scope of work."/>
  </r>
  <r>
    <x v="1"/>
    <n v="20979"/>
    <m/>
    <m/>
    <x v="7"/>
    <x v="7"/>
    <x v="13"/>
    <x v="52"/>
    <x v="3"/>
    <s v="Ben Bedock"/>
    <m/>
    <n v="0"/>
    <n v="0"/>
    <n v="0"/>
    <n v="0"/>
    <m/>
    <n v="0"/>
    <n v="0"/>
    <n v="0"/>
    <s v="TBD"/>
    <s v="TBD"/>
    <n v="0"/>
    <s v="New project, not yet started."/>
  </r>
  <r>
    <x v="1"/>
    <n v="20982"/>
    <m/>
    <s v="CP_400270"/>
    <x v="3"/>
    <x v="3"/>
    <x v="3"/>
    <x v="53"/>
    <x v="7"/>
    <s v="Ben Bedock"/>
    <n v="270000"/>
    <n v="18175"/>
    <n v="0"/>
    <n v="18175"/>
    <n v="0"/>
    <m/>
    <n v="0"/>
    <n v="18175"/>
    <n v="0"/>
    <s v="TBD"/>
    <s v="TBD"/>
    <n v="0"/>
    <s v="06/27/2024 Lerch Bates PO has been issued and we are working through the scope of work.  This is going to be a summer 25 project."/>
  </r>
  <r>
    <x v="3"/>
    <m/>
    <m/>
    <m/>
    <x v="11"/>
    <x v="10"/>
    <x v="26"/>
    <x v="54"/>
    <x v="8"/>
    <m/>
    <n v="37472926.759999998"/>
    <n v="25895794.339999996"/>
    <n v="23828507.420000002"/>
    <n v="23877879.420000002"/>
    <n v="16025805.570000002"/>
    <n v="92965.86"/>
    <n v="8797286.2599999998"/>
    <n v="11427472.939999999"/>
    <n v="0"/>
    <n v="6439500"/>
    <n v="6439500"/>
    <n v="843000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8AA97CE-598A-4607-AB8B-69B1E639D886}"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C18" firstHeaderRow="0" firstDataRow="1" firstDataCol="1"/>
  <pivotFields count="23">
    <pivotField showAll="0">
      <items count="5">
        <item x="1"/>
        <item x="0"/>
        <item x="2"/>
        <item x="3"/>
        <item t="default"/>
      </items>
    </pivotField>
    <pivotField showAll="0"/>
    <pivotField showAll="0"/>
    <pivotField showAll="0"/>
    <pivotField axis="axisRow" showAll="0">
      <items count="13">
        <item x="6"/>
        <item x="4"/>
        <item x="5"/>
        <item x="7"/>
        <item x="3"/>
        <item x="1"/>
        <item x="0"/>
        <item x="2"/>
        <item x="8"/>
        <item x="9"/>
        <item x="10"/>
        <item x="11"/>
        <item t="default"/>
      </items>
    </pivotField>
    <pivotField showAll="0">
      <items count="12">
        <item h="1" x="6"/>
        <item h="1" x="4"/>
        <item h="1" x="5"/>
        <item h="1" x="7"/>
        <item h="1" x="3"/>
        <item h="1" x="2"/>
        <item h="1" x="9"/>
        <item h="1" x="8"/>
        <item x="0"/>
        <item h="1" x="1"/>
        <item h="1" x="10"/>
        <item t="default"/>
      </items>
    </pivotField>
    <pivotField showAll="0">
      <items count="28">
        <item x="13"/>
        <item x="12"/>
        <item x="20"/>
        <item x="4"/>
        <item x="6"/>
        <item x="16"/>
        <item x="5"/>
        <item x="22"/>
        <item x="25"/>
        <item x="2"/>
        <item x="7"/>
        <item x="9"/>
        <item x="3"/>
        <item x="1"/>
        <item x="23"/>
        <item x="0"/>
        <item x="17"/>
        <item x="11"/>
        <item x="10"/>
        <item x="19"/>
        <item x="15"/>
        <item x="24"/>
        <item x="18"/>
        <item x="21"/>
        <item x="14"/>
        <item x="8"/>
        <item x="26"/>
        <item t="default"/>
      </items>
    </pivotField>
    <pivotField axis="axisRow" showAll="0">
      <items count="56">
        <item x="18"/>
        <item x="17"/>
        <item x="4"/>
        <item x="6"/>
        <item x="24"/>
        <item x="2"/>
        <item x="8"/>
        <item x="19"/>
        <item x="11"/>
        <item x="3"/>
        <item x="31"/>
        <item x="1"/>
        <item x="25"/>
        <item x="14"/>
        <item x="0"/>
        <item x="27"/>
        <item x="16"/>
        <item x="12"/>
        <item x="29"/>
        <item x="35"/>
        <item x="33"/>
        <item x="28"/>
        <item x="20"/>
        <item x="34"/>
        <item x="23"/>
        <item x="36"/>
        <item x="13"/>
        <item x="10"/>
        <item x="9"/>
        <item x="5"/>
        <item x="21"/>
        <item x="22"/>
        <item x="37"/>
        <item x="30"/>
        <item x="38"/>
        <item x="39"/>
        <item x="40"/>
        <item x="41"/>
        <item x="42"/>
        <item x="43"/>
        <item x="44"/>
        <item x="45"/>
        <item x="46"/>
        <item x="47"/>
        <item x="48"/>
        <item x="7"/>
        <item x="15"/>
        <item x="26"/>
        <item x="32"/>
        <item x="49"/>
        <item x="50"/>
        <item x="51"/>
        <item x="52"/>
        <item x="53"/>
        <item x="54"/>
        <item t="default"/>
      </items>
    </pivotField>
    <pivotField axis="axisRow" showAll="0">
      <items count="10">
        <item x="1"/>
        <item x="5"/>
        <item x="0"/>
        <item x="6"/>
        <item x="3"/>
        <item x="2"/>
        <item x="4"/>
        <item x="7"/>
        <item x="8"/>
        <item t="default"/>
      </items>
    </pivotField>
    <pivotField showAll="0"/>
    <pivotField dataField="1" numFmtId="165" showAll="0"/>
    <pivotField dataField="1" numFmtId="165" showAll="0"/>
    <pivotField numFmtId="165" showAll="0"/>
    <pivotField numFmtId="165" showAll="0"/>
    <pivotField numFmtId="165" showAll="0"/>
    <pivotField showAll="0"/>
    <pivotField numFmtId="164" showAll="0"/>
    <pivotField showAll="0"/>
    <pivotField numFmtId="164" showAll="0"/>
    <pivotField showAll="0"/>
    <pivotField showAll="0"/>
    <pivotField numFmtId="164" showAll="0"/>
    <pivotField showAll="0"/>
  </pivotFields>
  <rowFields count="3">
    <field x="4"/>
    <field x="8"/>
    <field x="7"/>
  </rowFields>
  <rowItems count="15">
    <i>
      <x v="6"/>
    </i>
    <i r="1">
      <x/>
    </i>
    <i r="2">
      <x v="21"/>
    </i>
    <i r="2">
      <x v="32"/>
    </i>
    <i r="2">
      <x v="48"/>
    </i>
    <i r="1">
      <x v="2"/>
    </i>
    <i r="2">
      <x v="6"/>
    </i>
    <i r="2">
      <x v="14"/>
    </i>
    <i r="2">
      <x v="16"/>
    </i>
    <i r="2">
      <x v="24"/>
    </i>
    <i r="2">
      <x v="25"/>
    </i>
    <i r="2">
      <x v="26"/>
    </i>
    <i r="2">
      <x v="27"/>
    </i>
    <i r="2">
      <x v="28"/>
    </i>
    <i t="grand">
      <x/>
    </i>
  </rowItems>
  <colFields count="1">
    <field x="-2"/>
  </colFields>
  <colItems count="2">
    <i>
      <x/>
    </i>
    <i i="1">
      <x v="1"/>
    </i>
  </colItems>
  <dataFields count="2">
    <dataField name="Estimated Budget" fld="10" baseField="5" baseItem="1" numFmtId="3"/>
    <dataField name="Approved_Budget" fld="11" baseField="5" baseItem="1" numFmtId="3"/>
  </dataFields>
  <formats count="2">
    <format dxfId="4">
      <pivotArea dataOnly="0" labelOnly="1" outline="0" fieldPosition="0">
        <references count="1">
          <reference field="4294967294" count="2">
            <x v="0"/>
            <x v="1"/>
          </reference>
        </references>
      </pivotArea>
    </format>
    <format dxfId="3">
      <pivotArea outline="0" collapsedLevelsAreSubtotals="1" fieldPosition="0"/>
    </format>
  </format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1513284182">
      <items count="4">
        <i x="1" s="1"/>
        <i x="0" s="1"/>
        <i x="2" s="1" nd="1"/>
        <i x="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1513284182">
      <items count="27">
        <i x="7" s="1"/>
        <i x="0" s="1"/>
        <i x="11" s="1"/>
        <i x="18" s="1"/>
        <i x="8" s="1"/>
        <i x="13" s="1" nd="1"/>
        <i x="12" s="1" nd="1"/>
        <i x="20" s="1" nd="1"/>
        <i x="4" s="1" nd="1"/>
        <i x="6" s="1" nd="1"/>
        <i x="16" s="1" nd="1"/>
        <i x="5" s="1" nd="1"/>
        <i x="22" s="1" nd="1"/>
        <i x="25" s="1" nd="1"/>
        <i x="2" s="1" nd="1"/>
        <i x="9" s="1" nd="1"/>
        <i x="3" s="1" nd="1"/>
        <i x="1" s="1" nd="1"/>
        <i x="23" s="1" nd="1"/>
        <i x="17" s="1" nd="1"/>
        <i x="10" s="1" nd="1"/>
        <i x="19" s="1" nd="1"/>
        <i x="15" s="1" nd="1"/>
        <i x="24" s="1" nd="1"/>
        <i x="21" s="1" nd="1"/>
        <i x="14" s="1" nd="1"/>
        <i x="26"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1513284182">
      <items count="11">
        <i x="6"/>
        <i x="4"/>
        <i x="5"/>
        <i x="7"/>
        <i x="3"/>
        <i x="2"/>
        <i x="9"/>
        <i x="8"/>
        <i x="0" s="1"/>
        <i x="1"/>
        <i x="10"/>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ase" xr10:uid="{C31A7630-D522-484B-BEFA-BE433320AE37}" sourceName="Phase">
  <pivotTables>
    <pivotTable tabId="9" name="PivotTable1"/>
  </pivotTables>
  <data>
    <tabular pivotCacheId="1513284182">
      <items count="9">
        <i x="1" s="1"/>
        <i x="0" s="1"/>
        <i x="4" s="1" nd="1"/>
        <i x="5" s="1" nd="1"/>
        <i x="6" s="1" nd="1"/>
        <i x="3" s="1" nd="1"/>
        <i x="7" s="1" nd="1"/>
        <i x="2" s="1" nd="1"/>
        <i x="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 name="Phase" xr10:uid="{EC62A4FE-AAD3-4BF1-82CF-B4D46BF1A7BD}" cache="Slicer_Phase" caption="Phase" style="SlicerStyleLight2"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5-17T18:14:40.74" personId="{25485ED3-42D9-422C-9A77-5F76F434CCD0}" id="{B94B61BE-9E95-456D-83ED-BA5ED89F596A}">
    <text>Includes roof repairs in scope.</text>
  </threadedComment>
  <threadedComment ref="M10" dT="2023-02-09T15:08:20.39" personId="{25485ED3-42D9-422C-9A77-5F76F434CCD0}" id="{DBD976BE-1EA5-4F82-B578-BB477409D36E}">
    <text>Includes both A&amp;S swing space and FRP scope.</text>
  </threadedComment>
  <threadedComment ref="X11" dT="2023-10-18T18:20:46.13" personId="{25485ED3-42D9-422C-9A77-5F76F434CCD0}" id="{AA2AAB68-C334-402F-BFE2-A7D00ACCE4BE}">
    <text>Project will be joint funded, FPR / Divinity + Dean of Students.</text>
  </threadedComment>
  <threadedComment ref="X19" dT="2024-02-01T20:47:48.13" personId="{25485ED3-42D9-422C-9A77-5F76F434CCD0}" id="{2F536141-AE0B-480B-9256-AC86F43D41D9}">
    <text>Phase 2 estimate. May be a separate project ID.</text>
  </threadedComment>
  <threadedComment ref="M28" dT="2023-02-09T15:08:20.39" personId="{25485ED3-42D9-422C-9A77-5F76F434CCD0}" id="{CD0EAA3A-8612-41AC-AEA9-2402CC95F0F9}">
    <text xml:space="preserve">Includes both A&amp;S third floor renovation FRP (VAV boxes) scope. </text>
  </threadedComment>
  <threadedComment ref="I38" dT="2023-08-23T18:07:53.49" personId="{25485ED3-42D9-422C-9A77-5F76F434CCD0}" id="{E105EA63-7C78-41C4-8D8F-2A5203F081DB}">
    <text>Feasibility study to occur FY24 as opex cost. Unsure timing of eventual construction.</text>
  </threadedComment>
  <threadedComment ref="I39" dT="2023-08-23T18:07:53.49" personId="{25485ED3-42D9-422C-9A77-5F76F434CCD0}" id="{E5436728-87D0-492B-83F9-14F3FA74D779}">
    <text>Feasibility study to occur FY24 as opex cost. Unsure timing of eventual construction.</text>
  </threadedComment>
  <threadedComment ref="I40" dT="2023-08-23T18:07:59.09" personId="{25485ED3-42D9-422C-9A77-5F76F434CCD0}" id="{2718DB0D-6394-4B31-BD4D-B1D4C2924D70}">
    <text>Feasibility study to occur FY24 as opex cost. Unsure timing of eventual construction.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E44" dT="2023-11-15T19:09:35.82" personId="{25485ED3-42D9-422C-9A77-5F76F434CCD0}" id="{85245034-B175-4331-A4C4-D9D0079EF84F}">
    <text>Preliminary cost estimates presented in three options. $4M - $5M range.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microsoft.com/office/2007/relationships/slicer" Target="../slicers/slicer1.xml"/></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9932-010C-4D3C-8086-FBA276DBF10D}">
  <dimension ref="B2:I27"/>
  <sheetViews>
    <sheetView showGridLines="0" zoomScale="130" zoomScaleNormal="130" workbookViewId="0">
      <selection activeCell="P1" sqref="P1"/>
    </sheetView>
  </sheetViews>
  <sheetFormatPr defaultRowHeight="14.6" x14ac:dyDescent="0.4"/>
  <cols>
    <col min="1" max="1" width="4.84375" customWidth="1"/>
  </cols>
  <sheetData>
    <row r="2" spans="2:9" ht="20.6" x14ac:dyDescent="0.55000000000000004">
      <c r="B2" s="162" t="s">
        <v>286</v>
      </c>
    </row>
    <row r="4" spans="2:9" x14ac:dyDescent="0.4">
      <c r="B4" s="22" t="s">
        <v>287</v>
      </c>
    </row>
    <row r="5" spans="2:9" x14ac:dyDescent="0.4">
      <c r="B5" s="22" t="s">
        <v>292</v>
      </c>
    </row>
    <row r="6" spans="2:9" x14ac:dyDescent="0.4">
      <c r="I6" s="146"/>
    </row>
    <row r="8" spans="2:9" x14ac:dyDescent="0.4">
      <c r="B8" s="22" t="s">
        <v>295</v>
      </c>
    </row>
    <row r="9" spans="2:9" x14ac:dyDescent="0.4">
      <c r="B9" s="22" t="s">
        <v>288</v>
      </c>
    </row>
    <row r="10" spans="2:9" x14ac:dyDescent="0.4">
      <c r="B10" s="22" t="s">
        <v>293</v>
      </c>
    </row>
    <row r="11" spans="2:9" x14ac:dyDescent="0.4">
      <c r="B11" s="22" t="s">
        <v>294</v>
      </c>
    </row>
    <row r="12" spans="2:9" x14ac:dyDescent="0.4">
      <c r="B12" s="22" t="s">
        <v>296</v>
      </c>
    </row>
    <row r="13" spans="2:9" x14ac:dyDescent="0.4">
      <c r="B13" s="22" t="s">
        <v>297</v>
      </c>
    </row>
    <row r="14" spans="2:9" ht="15.45" customHeight="1" x14ac:dyDescent="0.4"/>
    <row r="15" spans="2:9" ht="15.45" customHeight="1" x14ac:dyDescent="0.4"/>
    <row r="16" spans="2:9" ht="15.45" customHeight="1" x14ac:dyDescent="0.4"/>
    <row r="17" spans="2:2" ht="15.45" customHeight="1" x14ac:dyDescent="0.4"/>
    <row r="18" spans="2:2" ht="15.45" customHeight="1" x14ac:dyDescent="0.4"/>
    <row r="19" spans="2:2" ht="15.45" customHeight="1" x14ac:dyDescent="0.4"/>
    <row r="20" spans="2:2" ht="15.45" customHeight="1" x14ac:dyDescent="0.4"/>
    <row r="21" spans="2:2" ht="15.45" customHeight="1" x14ac:dyDescent="0.4"/>
    <row r="22" spans="2:2" ht="15.45" customHeight="1" x14ac:dyDescent="0.4"/>
    <row r="23" spans="2:2" ht="15.45" customHeight="1" x14ac:dyDescent="0.4"/>
    <row r="24" spans="2:2" ht="15.45" customHeight="1" x14ac:dyDescent="0.4"/>
    <row r="27" spans="2:2" ht="20.6" x14ac:dyDescent="0.55000000000000004">
      <c r="B27" s="162" t="s">
        <v>450</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046875" bestFit="1" customWidth="1"/>
    <col min="5" max="5" width="41.69140625" bestFit="1" customWidth="1"/>
    <col min="6" max="6" width="31.3046875" bestFit="1" customWidth="1"/>
    <col min="7" max="7" width="11" bestFit="1" customWidth="1"/>
    <col min="8" max="8" width="16.53515625" bestFit="1" customWidth="1"/>
    <col min="9" max="9" width="1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10098</v>
      </c>
      <c r="B4" s="11">
        <f>VLOOKUP(A4,'Project Status'!C:D,2,FALSE)</f>
        <v>1627</v>
      </c>
      <c r="C4" s="11" t="str">
        <f>VLOOKUP(A4,'Project Status'!C:E,3,FALSE)</f>
        <v>CP_400023</v>
      </c>
      <c r="D4" s="11" t="str">
        <f>VLOOKUP(A4,'Project Status'!C:F,4,FALSE)</f>
        <v>18200 - Basic Sciences: Office of the Dean</v>
      </c>
      <c r="E4" s="11" t="str">
        <f>VLOOKUP(A4,'Project Status'!C:I,7,FALSE)</f>
        <v>MRB III - 4th Floor - Replace Controls (Phase 2)</v>
      </c>
      <c r="F4" s="11" t="str">
        <f>VLOOKUP(A4,'Project Status'!C:K,8,FALSE)</f>
        <v>Complete</v>
      </c>
      <c r="G4" s="11" t="str">
        <f>VLOOKUP(A4,'Project Status'!C:L,9,FALSE)</f>
        <v>Finalized</v>
      </c>
      <c r="H4" s="40">
        <f>VLOOKUP(A4,'Project Status'!C:N,11,FALSE)</f>
        <v>1216485.5</v>
      </c>
      <c r="I4" s="173">
        <f>VLOOKUP(B4,'Project Status'!D:O,11,FALSE)</f>
        <v>1216485.5</v>
      </c>
    </row>
    <row r="8" spans="1:11" x14ac:dyDescent="0.4">
      <c r="E8" s="41" t="s">
        <v>124</v>
      </c>
    </row>
    <row r="9" spans="1:11" x14ac:dyDescent="0.4">
      <c r="E9" s="22" t="s">
        <v>134</v>
      </c>
      <c r="F9" s="33">
        <v>44769</v>
      </c>
      <c r="H9" s="42">
        <v>1216485.5</v>
      </c>
    </row>
    <row r="10" spans="1:11" x14ac:dyDescent="0.4">
      <c r="E10" s="22" t="s">
        <v>351</v>
      </c>
      <c r="F10" s="208" t="s">
        <v>300</v>
      </c>
      <c r="H10" s="42">
        <v>-4400.96</v>
      </c>
    </row>
    <row r="13" spans="1:11" x14ac:dyDescent="0.4">
      <c r="F13" s="10"/>
      <c r="G13" s="10"/>
      <c r="H13" s="45"/>
    </row>
    <row r="18" spans="5:8" x14ac:dyDescent="0.4">
      <c r="E18" s="136" t="s">
        <v>263</v>
      </c>
      <c r="F18" s="137"/>
      <c r="G18" s="136"/>
      <c r="H18" s="138">
        <f>SUM(H9:H17)</f>
        <v>1212084.54</v>
      </c>
    </row>
    <row r="20" spans="5:8" x14ac:dyDescent="0.4">
      <c r="E20" s="139" t="s">
        <v>136</v>
      </c>
      <c r="F20" s="139"/>
      <c r="G20" s="139"/>
      <c r="H20" s="140">
        <f>I4-H18</f>
        <v>4400.9599999999627</v>
      </c>
    </row>
  </sheetData>
  <hyperlinks>
    <hyperlink ref="K1" location="'Project Status'!A1" display="'Project Status'!A1" xr:uid="{3F842A42-250F-4C9F-9E17-1DC6C976A04F}"/>
  </hyperlinks>
  <pageMargins left="0.7" right="0.7" top="0.75" bottom="0.75" header="0.3" footer="0.3"/>
  <pageSetup scale="9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rgb="FFFFFF93"/>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0.69140625" bestFit="1" customWidth="1"/>
    <col min="5" max="5" width="30.3046875" bestFit="1" customWidth="1"/>
    <col min="6" max="6" width="7" bestFit="1" customWidth="1"/>
    <col min="7" max="7" width="12.3046875" bestFit="1" customWidth="1"/>
    <col min="8" max="8" width="16.53515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10146</v>
      </c>
      <c r="B4" s="11">
        <f>VLOOKUP(A4,'Project Status'!C:D,2,FALSE)</f>
        <v>8206</v>
      </c>
      <c r="C4" s="11" t="str">
        <f>VLOOKUP(A4,'Project Status'!C:E,3,FALSE)</f>
        <v>CP_400025</v>
      </c>
      <c r="D4" s="11" t="str">
        <f>VLOOKUP(A4,'Project Status'!C:F,4,FALSE)</f>
        <v>19100 - Nursing: Business Affairs</v>
      </c>
      <c r="E4" s="11" t="str">
        <f>VLOOKUP(A4,'Project Status'!C:I,7,FALSE)</f>
        <v>Godchaux Hall - HVAC Upgrade</v>
      </c>
      <c r="F4" s="11" t="str">
        <f>VLOOKUP(A4,'Project Status'!C:K,8,FALSE)</f>
        <v>Active</v>
      </c>
      <c r="G4" s="11" t="str">
        <f>VLOOKUP(A4,'Project Status'!C:L,9,FALSE)</f>
        <v>Financial Closeout</v>
      </c>
      <c r="H4" s="89">
        <f>VLOOKUP(A4,'Project Status'!C:N,11,FALSE)</f>
        <v>318000</v>
      </c>
    </row>
    <row r="8" spans="1:11" x14ac:dyDescent="0.4">
      <c r="E8" s="41" t="s">
        <v>124</v>
      </c>
    </row>
    <row r="9" spans="1:11" x14ac:dyDescent="0.4">
      <c r="E9" s="22" t="s">
        <v>214</v>
      </c>
      <c r="F9" s="33" t="s">
        <v>146</v>
      </c>
      <c r="H9" s="42">
        <v>4900</v>
      </c>
    </row>
    <row r="10" spans="1:11" x14ac:dyDescent="0.4">
      <c r="E10" s="32" t="s">
        <v>218</v>
      </c>
      <c r="F10" s="20"/>
      <c r="G10" s="20"/>
      <c r="H10" s="71">
        <v>57200</v>
      </c>
    </row>
    <row r="11" spans="1:11" x14ac:dyDescent="0.4">
      <c r="H11" s="44">
        <f>SUM(H9:H10)</f>
        <v>62100</v>
      </c>
    </row>
    <row r="12" spans="1:11" x14ac:dyDescent="0.4">
      <c r="H12" s="45"/>
    </row>
    <row r="13" spans="1:11" x14ac:dyDescent="0.4">
      <c r="E13" s="22" t="s">
        <v>322</v>
      </c>
      <c r="F13" s="33" t="s">
        <v>321</v>
      </c>
      <c r="G13" s="10"/>
      <c r="H13" s="43">
        <v>11500</v>
      </c>
    </row>
    <row r="14" spans="1:11" x14ac:dyDescent="0.4">
      <c r="E14" s="22" t="s">
        <v>351</v>
      </c>
      <c r="F14" t="s">
        <v>174</v>
      </c>
      <c r="H14" s="43">
        <v>244457</v>
      </c>
    </row>
    <row r="15" spans="1:11" x14ac:dyDescent="0.4">
      <c r="E15" s="136" t="s">
        <v>364</v>
      </c>
      <c r="F15" s="137"/>
      <c r="G15" s="136"/>
      <c r="H15" s="138">
        <f>SUM(H13:H14)</f>
        <v>255957</v>
      </c>
    </row>
    <row r="20" spans="5:8" x14ac:dyDescent="0.4">
      <c r="E20" s="139" t="s">
        <v>136</v>
      </c>
      <c r="F20" s="139"/>
      <c r="G20" s="139"/>
      <c r="H20" s="140">
        <f>H4-H11-H15</f>
        <v>-57</v>
      </c>
    </row>
  </sheetData>
  <hyperlinks>
    <hyperlink ref="K1" location="'Project Status'!A1" display="'Project Status'!A1" xr:uid="{A956AABB-927C-4E8E-BB0A-A11D0E8D38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7.07421875" bestFit="1" customWidth="1"/>
    <col min="5" max="5" width="41.3046875" bestFit="1" customWidth="1"/>
    <col min="6" max="6" width="32.3046875" bestFit="1" customWidth="1"/>
    <col min="7" max="7" width="13.84375" bestFit="1" customWidth="1"/>
    <col min="8" max="8" width="16.53515625" bestFit="1" customWidth="1"/>
    <col min="9" max="9" width="1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20179</v>
      </c>
      <c r="B4" s="11">
        <f>VLOOKUP(A4,'Project Status'!C:D,2,FALSE)</f>
        <v>36015</v>
      </c>
      <c r="C4" s="11" t="str">
        <f>VLOOKUP(A4,'Project Status'!C:E,3,FALSE)</f>
        <v>CP_400024</v>
      </c>
      <c r="D4" s="11" t="str">
        <f>VLOOKUP(A4,'Project Status'!C:F,4,FALSE)</f>
        <v>17100 - Law: Business Affairs</v>
      </c>
      <c r="E4" s="11" t="str">
        <f>VLOOKUP(A4,'Project Status'!C:I,7,FALSE)</f>
        <v>Law School - Fire Alarm System Replacement</v>
      </c>
      <c r="F4" s="11" t="str">
        <f>VLOOKUP(A4,'Project Status'!C:K,8,FALSE)</f>
        <v>Complete</v>
      </c>
      <c r="G4" s="11" t="str">
        <f>VLOOKUP(A4,'Project Status'!C:L,9,FALSE)</f>
        <v>Finalized</v>
      </c>
      <c r="H4" s="40">
        <f>VLOOKUP(A4,'Project Status'!C:N,11,FALSE)</f>
        <v>1445389</v>
      </c>
      <c r="I4" s="173">
        <f>VLOOKUP(B4,'Project Status'!D:O,11,FALSE)</f>
        <v>1445389</v>
      </c>
    </row>
    <row r="8" spans="1:11" x14ac:dyDescent="0.4">
      <c r="E8" s="41" t="s">
        <v>124</v>
      </c>
    </row>
    <row r="9" spans="1:11" x14ac:dyDescent="0.4">
      <c r="E9" s="22" t="s">
        <v>134</v>
      </c>
      <c r="F9" s="33">
        <v>44769</v>
      </c>
      <c r="H9" s="42">
        <v>722694.5</v>
      </c>
    </row>
    <row r="10" spans="1:11" x14ac:dyDescent="0.4">
      <c r="E10" s="32" t="s">
        <v>135</v>
      </c>
      <c r="F10" s="20"/>
      <c r="G10" s="20"/>
      <c r="H10" s="71">
        <f>H4*0.5</f>
        <v>722694.5</v>
      </c>
    </row>
    <row r="11" spans="1:11" x14ac:dyDescent="0.4">
      <c r="E11" s="22" t="s">
        <v>437</v>
      </c>
      <c r="H11" s="42">
        <v>-92965.86</v>
      </c>
    </row>
    <row r="12" spans="1:11" x14ac:dyDescent="0.4">
      <c r="H12" s="44">
        <f>SUM(H9:H11)</f>
        <v>1352423.14</v>
      </c>
    </row>
    <row r="13" spans="1:11" x14ac:dyDescent="0.4">
      <c r="G13" s="10"/>
      <c r="H13" s="45"/>
    </row>
    <row r="18" spans="5:8" x14ac:dyDescent="0.4">
      <c r="E18" s="136" t="s">
        <v>263</v>
      </c>
      <c r="F18" s="137"/>
      <c r="G18" s="136"/>
      <c r="H18" s="138">
        <f>H9+H11</f>
        <v>629728.64</v>
      </c>
    </row>
    <row r="20" spans="5:8" x14ac:dyDescent="0.4">
      <c r="E20" s="139" t="s">
        <v>136</v>
      </c>
      <c r="F20" s="139"/>
      <c r="G20" s="139"/>
      <c r="H20" s="140">
        <f>I4-H12</f>
        <v>92965.860000000102</v>
      </c>
    </row>
  </sheetData>
  <hyperlinks>
    <hyperlink ref="K1" location="'Project Status'!A1" display="'Project Status'!A1" xr:uid="{FF747D79-FA74-4041-9077-E03AA4DE35BB}"/>
  </hyperlinks>
  <pageMargins left="0.7" right="0.7" top="0.75" bottom="0.75" header="0.3" footer="0.3"/>
  <pageSetup scale="9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9.69140625" bestFit="1" customWidth="1"/>
    <col min="5" max="5" width="45.53515625" bestFit="1" customWidth="1"/>
    <col min="6" max="6" width="32.3046875" bestFit="1" customWidth="1"/>
    <col min="7" max="7" width="11.3046875" bestFit="1" customWidth="1"/>
    <col min="8" max="8" width="16.53515625" bestFit="1" customWidth="1"/>
    <col min="9" max="9" width="13.304687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20336</v>
      </c>
      <c r="B4" s="11">
        <f>VLOOKUP(A4,'Project Status'!C:D,2,FALSE)</f>
        <v>20075</v>
      </c>
      <c r="C4" s="11" t="str">
        <f>VLOOKUP(A4,'Project Status'!C:E,3,FALSE)</f>
        <v>CP_400056</v>
      </c>
      <c r="D4" s="11" t="str">
        <f>VLOOKUP(A4,'Project Status'!C:F,4,FALSE)</f>
        <v>13000 - Blair: Office of the Dean</v>
      </c>
      <c r="E4" s="11" t="str">
        <f>VLOOKUP(A4,'Project Status'!C:I,7,FALSE)</f>
        <v>Blair School of Music - Elevator #3 Modernization</v>
      </c>
      <c r="F4" s="11" t="str">
        <f>VLOOKUP(A4,'Project Status'!C:K,8,FALSE)</f>
        <v>Complete</v>
      </c>
      <c r="G4" s="11" t="str">
        <f>VLOOKUP(A4,'Project Status'!C:L,9,FALSE)</f>
        <v>Finalized</v>
      </c>
      <c r="H4" s="40">
        <f>VLOOKUP(A4,'Project Status'!C:N,11,FALSE)</f>
        <v>327890</v>
      </c>
      <c r="I4" s="173">
        <f>VLOOKUP(B4,'Project Status'!D:O,11,FALSE)</f>
        <v>327890</v>
      </c>
    </row>
    <row r="8" spans="1:11" x14ac:dyDescent="0.4">
      <c r="E8" s="41" t="s">
        <v>124</v>
      </c>
    </row>
    <row r="9" spans="1:11" x14ac:dyDescent="0.4">
      <c r="E9" s="22" t="s">
        <v>166</v>
      </c>
      <c r="F9" s="33" t="s">
        <v>139</v>
      </c>
      <c r="H9" s="42">
        <v>12900</v>
      </c>
    </row>
    <row r="10" spans="1:11" x14ac:dyDescent="0.4">
      <c r="E10" s="22" t="s">
        <v>166</v>
      </c>
      <c r="F10" t="s">
        <v>146</v>
      </c>
      <c r="H10" s="43">
        <v>2200</v>
      </c>
    </row>
    <row r="11" spans="1:11" x14ac:dyDescent="0.4">
      <c r="E11" s="22" t="s">
        <v>214</v>
      </c>
      <c r="F11" t="s">
        <v>174</v>
      </c>
      <c r="H11" s="43">
        <v>312790</v>
      </c>
    </row>
    <row r="12" spans="1:11" x14ac:dyDescent="0.4">
      <c r="E12" s="22" t="s">
        <v>384</v>
      </c>
      <c r="F12" t="s">
        <v>300</v>
      </c>
      <c r="H12" s="42">
        <v>-47290</v>
      </c>
    </row>
    <row r="18" spans="5:8" x14ac:dyDescent="0.4">
      <c r="E18" s="136" t="s">
        <v>263</v>
      </c>
      <c r="F18" s="137"/>
      <c r="G18" s="136"/>
      <c r="H18" s="138">
        <f>SUM(H9:H17)</f>
        <v>280600</v>
      </c>
    </row>
    <row r="20" spans="5:8" x14ac:dyDescent="0.4">
      <c r="E20" s="139" t="s">
        <v>136</v>
      </c>
      <c r="F20" s="139"/>
      <c r="G20" s="139"/>
      <c r="H20" s="140">
        <f>I4-H18</f>
        <v>47290</v>
      </c>
    </row>
  </sheetData>
  <hyperlinks>
    <hyperlink ref="K1" location="'Project Status'!A1" display="'Project Status'!A1" xr:uid="{2DD23A45-EA4E-4CC3-99A3-228E548F4DA6}"/>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theme="4"/>
  </sheetPr>
  <dimension ref="A1:L22"/>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1.3046875" bestFit="1" customWidth="1"/>
    <col min="6" max="6" width="12.3046875" bestFit="1" customWidth="1"/>
    <col min="7" max="7" width="11" bestFit="1" customWidth="1"/>
    <col min="8" max="8" width="16.53515625" bestFit="1" customWidth="1"/>
    <col min="10" max="12" width="12.07421875" bestFit="1" customWidth="1"/>
  </cols>
  <sheetData>
    <row r="1" spans="1:12" x14ac:dyDescent="0.4">
      <c r="K1" s="141" t="s">
        <v>267</v>
      </c>
    </row>
    <row r="3" spans="1:12" x14ac:dyDescent="0.4">
      <c r="A3" s="37" t="s">
        <v>125</v>
      </c>
      <c r="B3" s="36" t="s">
        <v>126</v>
      </c>
      <c r="C3" s="37" t="s">
        <v>127</v>
      </c>
      <c r="D3" s="38" t="s">
        <v>86</v>
      </c>
      <c r="E3" s="38" t="s">
        <v>87</v>
      </c>
      <c r="F3" s="37" t="s">
        <v>128</v>
      </c>
      <c r="G3" s="37" t="s">
        <v>129</v>
      </c>
      <c r="H3" s="39" t="s">
        <v>130</v>
      </c>
    </row>
    <row r="4" spans="1:12" x14ac:dyDescent="0.4">
      <c r="A4" s="11">
        <v>20431</v>
      </c>
      <c r="B4" s="11">
        <f>VLOOKUP(A4,'Project Status'!C:D,2,FALSE)</f>
        <v>8084</v>
      </c>
      <c r="C4" s="11" t="str">
        <f>VLOOKUP(A4,'Project Status'!C:E,3,FALSE)</f>
        <v>CP_400108</v>
      </c>
      <c r="D4" s="11" t="str">
        <f>VLOOKUP(A4,'Project Status'!C:F,4,FALSE)</f>
        <v>14000 - Divinity: Office of the Dean</v>
      </c>
      <c r="E4" s="11" t="str">
        <f>VLOOKUP(A4,'Project Status'!C:I,7,FALSE)</f>
        <v>Divinity Air Handling Unit Replacement, (5/6)- Phase 1</v>
      </c>
      <c r="F4" s="11" t="str">
        <f>VLOOKUP(A4,'Project Status'!C:K,8,FALSE)</f>
        <v>Active</v>
      </c>
      <c r="G4" s="11" t="str">
        <f>VLOOKUP(A4,'Project Status'!C:L,9,FALSE)</f>
        <v>Warranty or Construction Closeout</v>
      </c>
      <c r="H4" s="40">
        <f>VLOOKUP(A4,'Project Status'!C:N,11,FALSE)</f>
        <v>3800000</v>
      </c>
    </row>
    <row r="5" spans="1:12" x14ac:dyDescent="0.4">
      <c r="H5" s="42"/>
    </row>
    <row r="6" spans="1:12" x14ac:dyDescent="0.4">
      <c r="H6" s="42"/>
      <c r="J6" s="69">
        <v>0.75</v>
      </c>
      <c r="K6" s="69">
        <v>0.25</v>
      </c>
    </row>
    <row r="7" spans="1:12" ht="15" thickBot="1" x14ac:dyDescent="0.45">
      <c r="H7" s="42"/>
      <c r="J7" s="70" t="s">
        <v>179</v>
      </c>
      <c r="K7" s="70" t="s">
        <v>180</v>
      </c>
    </row>
    <row r="8" spans="1:12" x14ac:dyDescent="0.4">
      <c r="E8" s="41" t="s">
        <v>124</v>
      </c>
      <c r="H8" s="42"/>
    </row>
    <row r="9" spans="1:12" x14ac:dyDescent="0.4">
      <c r="E9" s="22" t="s">
        <v>181</v>
      </c>
      <c r="H9" s="269">
        <f>39900+3000+3590</f>
        <v>46490</v>
      </c>
      <c r="J9" s="43"/>
      <c r="K9" s="43"/>
    </row>
    <row r="10" spans="1:12" x14ac:dyDescent="0.4">
      <c r="E10" s="270" t="s">
        <v>175</v>
      </c>
      <c r="F10" s="10" t="s">
        <v>174</v>
      </c>
      <c r="G10" s="10"/>
      <c r="H10" s="68">
        <f>J10</f>
        <v>937.5</v>
      </c>
      <c r="I10" s="69"/>
      <c r="J10" s="43">
        <f>L10*J6</f>
        <v>937.5</v>
      </c>
      <c r="K10" s="43">
        <f>L10*K6</f>
        <v>312.5</v>
      </c>
      <c r="L10" s="65">
        <v>1250</v>
      </c>
    </row>
    <row r="11" spans="1:12" x14ac:dyDescent="0.4">
      <c r="E11" s="270" t="s">
        <v>175</v>
      </c>
      <c r="F11" s="271" t="s">
        <v>172</v>
      </c>
      <c r="G11" s="10"/>
      <c r="H11" s="68">
        <f>J11</f>
        <v>61425</v>
      </c>
      <c r="J11" s="43">
        <f>L11*J6</f>
        <v>61425</v>
      </c>
      <c r="K11" s="43">
        <f>L11*K6</f>
        <v>20475</v>
      </c>
      <c r="L11" s="65">
        <v>81900</v>
      </c>
    </row>
    <row r="12" spans="1:12" x14ac:dyDescent="0.4">
      <c r="E12" s="22" t="s">
        <v>182</v>
      </c>
      <c r="F12" s="33"/>
      <c r="H12" s="269">
        <f>K10+K11</f>
        <v>20787.5</v>
      </c>
      <c r="J12" s="43"/>
      <c r="K12" s="43"/>
    </row>
    <row r="13" spans="1:12" x14ac:dyDescent="0.4">
      <c r="E13" s="270" t="s">
        <v>225</v>
      </c>
      <c r="F13" s="10" t="s">
        <v>220</v>
      </c>
      <c r="G13" s="10"/>
      <c r="H13" s="272">
        <f>J13</f>
        <v>7500</v>
      </c>
      <c r="J13" s="43">
        <f>L13*J6</f>
        <v>7500</v>
      </c>
      <c r="K13" s="43">
        <f>L13*K6</f>
        <v>2500</v>
      </c>
      <c r="L13" s="65">
        <v>10000</v>
      </c>
    </row>
    <row r="14" spans="1:12" x14ac:dyDescent="0.4">
      <c r="E14" s="22" t="s">
        <v>226</v>
      </c>
      <c r="H14" s="99">
        <f>K13</f>
        <v>2500</v>
      </c>
      <c r="J14" s="43"/>
      <c r="K14" s="43"/>
    </row>
    <row r="15" spans="1:12" x14ac:dyDescent="0.4">
      <c r="E15" s="270" t="s">
        <v>322</v>
      </c>
      <c r="F15" s="10" t="s">
        <v>323</v>
      </c>
      <c r="G15" s="10"/>
      <c r="H15" s="272">
        <v>3660360</v>
      </c>
      <c r="J15" s="43"/>
      <c r="K15" s="43"/>
    </row>
    <row r="16" spans="1:12" x14ac:dyDescent="0.4">
      <c r="J16" s="43" t="s">
        <v>324</v>
      </c>
      <c r="K16" s="43"/>
    </row>
    <row r="17" spans="5:8" x14ac:dyDescent="0.4">
      <c r="H17" s="44">
        <f>SUM(H9:H16)</f>
        <v>3800000</v>
      </c>
    </row>
    <row r="19" spans="5:8" x14ac:dyDescent="0.4">
      <c r="F19" s="10"/>
      <c r="G19" s="10"/>
      <c r="H19" s="68"/>
    </row>
    <row r="20" spans="5:8" x14ac:dyDescent="0.4">
      <c r="E20" s="136" t="s">
        <v>263</v>
      </c>
      <c r="F20" s="137"/>
      <c r="G20" s="136"/>
      <c r="H20" s="138">
        <f>H10+H11+H13+H15</f>
        <v>3730222.5</v>
      </c>
    </row>
    <row r="22" spans="5:8" x14ac:dyDescent="0.4">
      <c r="E22" s="139" t="s">
        <v>136</v>
      </c>
      <c r="F22" s="139"/>
      <c r="G22" s="139"/>
      <c r="H22" s="140">
        <f>H4-H17</f>
        <v>0</v>
      </c>
    </row>
  </sheetData>
  <hyperlinks>
    <hyperlink ref="K1" location="'Project Status'!A1" display="'Project Status'!A1" xr:uid="{CDA93EF8-EDAF-40B0-9E35-101AB4694D4A}"/>
  </hyperlinks>
  <pageMargins left="0.7" right="0.7" top="0.75" bottom="0.75" header="0.3" footer="0.3"/>
  <pageSetup paperSize="5" scale="85"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DA62-22D7-44EF-A36D-7DC7A5C83653}">
  <sheetPr>
    <tabColor rgb="FFFFFF93"/>
  </sheetPr>
  <dimension ref="A1:L23"/>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07421875" bestFit="1" customWidth="1"/>
    <col min="5" max="5" width="51.53515625" bestFit="1" customWidth="1"/>
    <col min="6" max="6" width="32.3046875" bestFit="1" customWidth="1"/>
    <col min="7" max="7" width="13.3046875" bestFit="1" customWidth="1"/>
    <col min="8" max="8" width="16.53515625" bestFit="1" customWidth="1"/>
    <col min="9" max="12" width="15" bestFit="1" customWidth="1"/>
  </cols>
  <sheetData>
    <row r="1" spans="1:12" x14ac:dyDescent="0.4">
      <c r="K1" s="141" t="s">
        <v>267</v>
      </c>
    </row>
    <row r="3" spans="1:12" x14ac:dyDescent="0.4">
      <c r="A3" s="37" t="s">
        <v>125</v>
      </c>
      <c r="B3" s="36" t="s">
        <v>126</v>
      </c>
      <c r="C3" s="37" t="s">
        <v>127</v>
      </c>
      <c r="D3" s="38" t="s">
        <v>86</v>
      </c>
      <c r="E3" s="38" t="s">
        <v>87</v>
      </c>
      <c r="F3" s="37" t="s">
        <v>128</v>
      </c>
      <c r="G3" s="37" t="s">
        <v>129</v>
      </c>
      <c r="H3" s="39" t="s">
        <v>130</v>
      </c>
      <c r="I3" s="172" t="s">
        <v>298</v>
      </c>
    </row>
    <row r="4" spans="1:12" x14ac:dyDescent="0.4">
      <c r="A4" s="11">
        <v>20478</v>
      </c>
      <c r="B4" s="11">
        <f>VLOOKUP(A4,'Project Status'!C:D,2,FALSE)</f>
        <v>8672</v>
      </c>
      <c r="C4" s="11" t="str">
        <f>VLOOKUP(A4,'Project Status'!C:E,3,FALSE)</f>
        <v>CP_400182</v>
      </c>
      <c r="D4" s="11" t="str">
        <f>VLOOKUP(A4,'Project Status'!C:F,4,FALSE)</f>
        <v>12000 - Arts and Science: Office of the Dean</v>
      </c>
      <c r="E4" s="11" t="str">
        <f>VLOOKUP(A4,'Project Status'!C:I,7,FALSE)</f>
        <v>Bryan Building - Swing Space Renovation - A&amp;S Planning</v>
      </c>
      <c r="F4" s="11" t="str">
        <f>VLOOKUP(A4,'Project Status'!C:K,8,FALSE)</f>
        <v>Active</v>
      </c>
      <c r="G4" s="11" t="str">
        <f>VLOOKUP(A4,'Project Status'!C:L,9,FALSE)</f>
        <v>Warranty or Construction Closeout</v>
      </c>
      <c r="H4" s="40">
        <f>VLOOKUP(A4,'Project Status'!C:N,11,FALSE)</f>
        <v>2790000</v>
      </c>
      <c r="I4" s="173">
        <f>VLOOKUP(B4,'Project Status'!D:O,11,FALSE)</f>
        <v>2790000</v>
      </c>
    </row>
    <row r="5" spans="1:12" x14ac:dyDescent="0.4">
      <c r="H5" s="42"/>
    </row>
    <row r="6" spans="1:12" x14ac:dyDescent="0.4">
      <c r="H6" s="42"/>
      <c r="J6" s="69"/>
      <c r="K6" s="69"/>
    </row>
    <row r="7" spans="1:12" ht="15" thickBot="1" x14ac:dyDescent="0.45">
      <c r="H7" s="42"/>
      <c r="J7" s="70" t="s">
        <v>179</v>
      </c>
      <c r="K7" s="70" t="s">
        <v>120</v>
      </c>
    </row>
    <row r="8" spans="1:12" x14ac:dyDescent="0.4">
      <c r="E8" s="41" t="s">
        <v>124</v>
      </c>
      <c r="H8" s="42"/>
    </row>
    <row r="9" spans="1:12" x14ac:dyDescent="0.4">
      <c r="E9" s="10" t="s">
        <v>237</v>
      </c>
      <c r="F9" s="10" t="s">
        <v>139</v>
      </c>
      <c r="G9" s="10"/>
      <c r="H9" s="68">
        <f>J9</f>
        <v>12100</v>
      </c>
      <c r="J9" s="43">
        <v>12100</v>
      </c>
      <c r="K9" s="43">
        <v>6900</v>
      </c>
      <c r="L9" s="65">
        <v>19000</v>
      </c>
    </row>
    <row r="10" spans="1:12" x14ac:dyDescent="0.4">
      <c r="E10" s="22" t="s">
        <v>238</v>
      </c>
      <c r="F10" s="33"/>
      <c r="H10" s="42">
        <f>K9</f>
        <v>6900</v>
      </c>
      <c r="I10" s="69"/>
      <c r="J10" s="43"/>
      <c r="K10" s="43"/>
    </row>
    <row r="11" spans="1:12" x14ac:dyDescent="0.4">
      <c r="E11" s="273" t="s">
        <v>264</v>
      </c>
      <c r="F11" s="10" t="s">
        <v>213</v>
      </c>
      <c r="G11" s="10"/>
      <c r="H11" s="68">
        <v>69000</v>
      </c>
      <c r="J11" s="43">
        <v>69000</v>
      </c>
      <c r="K11" s="43">
        <v>32500</v>
      </c>
      <c r="L11" s="65">
        <v>101500</v>
      </c>
    </row>
    <row r="12" spans="1:12" x14ac:dyDescent="0.4">
      <c r="E12" s="22" t="s">
        <v>238</v>
      </c>
      <c r="H12" s="98">
        <v>32500</v>
      </c>
      <c r="J12" s="43"/>
      <c r="K12" s="43"/>
    </row>
    <row r="13" spans="1:12" x14ac:dyDescent="0.4">
      <c r="E13" s="273" t="s">
        <v>311</v>
      </c>
      <c r="F13" s="10" t="s">
        <v>146</v>
      </c>
      <c r="G13" s="10"/>
      <c r="H13" s="272">
        <f>SUM(1110000-H11-H9)</f>
        <v>1028900</v>
      </c>
      <c r="J13" s="42">
        <v>1028900</v>
      </c>
      <c r="K13" s="42">
        <v>1640600</v>
      </c>
      <c r="L13" s="65">
        <f>SUM(J13:K13)</f>
        <v>2669500</v>
      </c>
    </row>
    <row r="14" spans="1:12" x14ac:dyDescent="0.4">
      <c r="E14" s="22" t="s">
        <v>279</v>
      </c>
      <c r="H14" s="98">
        <f>SUM(1680000-H12-H10)</f>
        <v>1640600</v>
      </c>
      <c r="J14" s="43"/>
      <c r="K14" s="43"/>
    </row>
    <row r="15" spans="1:12" x14ac:dyDescent="0.4">
      <c r="F15" s="10"/>
      <c r="G15" s="10"/>
      <c r="H15" s="97"/>
    </row>
    <row r="16" spans="1:12" x14ac:dyDescent="0.4">
      <c r="H16" s="44">
        <f>SUM(H9:H14)</f>
        <v>2790000</v>
      </c>
      <c r="J16" s="44">
        <f>SUM(J9:J13)</f>
        <v>1110000</v>
      </c>
      <c r="K16" s="44">
        <f>SUM(K9:K13)</f>
        <v>1680000</v>
      </c>
    </row>
    <row r="18" spans="5:8" x14ac:dyDescent="0.4">
      <c r="E18" s="136" t="s">
        <v>263</v>
      </c>
      <c r="F18" s="137"/>
      <c r="G18" s="136"/>
      <c r="H18" s="138">
        <f>H9+H11+H13</f>
        <v>1110000</v>
      </c>
    </row>
    <row r="20" spans="5:8" x14ac:dyDescent="0.4">
      <c r="E20" s="139" t="s">
        <v>136</v>
      </c>
      <c r="F20" s="139"/>
      <c r="G20" s="139"/>
      <c r="H20" s="140">
        <f>H4-H16</f>
        <v>0</v>
      </c>
    </row>
    <row r="23" spans="5:8" x14ac:dyDescent="0.4">
      <c r="H23" s="43"/>
    </row>
  </sheetData>
  <hyperlinks>
    <hyperlink ref="K1" location="'Project Status'!A1" display="'Project Status'!A1" xr:uid="{2B2C41BE-F208-47B4-9337-E73C3D59FDAF}"/>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5749-E7D8-4D24-8193-D273A52FE892}">
  <sheetPr>
    <tabColor theme="4"/>
  </sheetPr>
  <dimension ref="A1:K20"/>
  <sheetViews>
    <sheetView zoomScale="90" zoomScaleNormal="90" workbookViewId="0">
      <selection activeCell="H9" sqref="H9"/>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2" bestFit="1" customWidth="1"/>
    <col min="6" max="6" width="11.07421875" bestFit="1" customWidth="1"/>
    <col min="7" max="7" width="11" bestFit="1" customWidth="1"/>
    <col min="8" max="8" width="16.53515625" bestFit="1" customWidth="1"/>
    <col min="10" max="12" width="11.53515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20489</v>
      </c>
      <c r="B4" s="11">
        <f>VLOOKUP(A4,'Project Status'!C:D,2,FALSE)</f>
        <v>8051</v>
      </c>
      <c r="C4" s="11" t="str">
        <f>VLOOKUP(A4,'Project Status'!C:E,3,FALSE)</f>
        <v>CP_400183</v>
      </c>
      <c r="D4" s="11" t="str">
        <f>VLOOKUP(A4,'Project Status'!C:F,4,FALSE)</f>
        <v>14000 - Divinity: Office of the Dean</v>
      </c>
      <c r="E4" s="11" t="str">
        <f>VLOOKUP(A4,'Project Status'!C:I,7,FALSE)</f>
        <v>Divinity Air Handling Unit Replacement,(1/3) - Phase 2 with Benton - FY26</v>
      </c>
      <c r="F4" s="11" t="str">
        <f>VLOOKUP(A4,'Project Status'!C:K,8,FALSE)</f>
        <v>Active</v>
      </c>
      <c r="G4" s="11" t="str">
        <f>VLOOKUP(A4,'Project Status'!C:L,9,FALSE)</f>
        <v>Design</v>
      </c>
      <c r="H4" s="40">
        <f>VLOOKUP(A4,'Project Status'!C:N,11,FALSE)</f>
        <v>4750000</v>
      </c>
    </row>
    <row r="5" spans="1:11" x14ac:dyDescent="0.4">
      <c r="H5" s="42"/>
    </row>
    <row r="6" spans="1:11" x14ac:dyDescent="0.4">
      <c r="H6" s="42"/>
      <c r="J6" s="69"/>
      <c r="K6" s="69"/>
    </row>
    <row r="7" spans="1:11" x14ac:dyDescent="0.4">
      <c r="H7" s="42"/>
    </row>
    <row r="8" spans="1:11" x14ac:dyDescent="0.4">
      <c r="E8" s="41" t="s">
        <v>124</v>
      </c>
      <c r="H8" s="42"/>
    </row>
    <row r="9" spans="1:11" x14ac:dyDescent="0.4">
      <c r="E9" t="s">
        <v>237</v>
      </c>
      <c r="F9" t="s">
        <v>139</v>
      </c>
      <c r="H9" s="42">
        <v>26500</v>
      </c>
    </row>
    <row r="10" spans="1:11" x14ac:dyDescent="0.4">
      <c r="E10" s="22"/>
      <c r="F10" s="33"/>
      <c r="H10" s="42"/>
    </row>
    <row r="11" spans="1:11" x14ac:dyDescent="0.4">
      <c r="E11" s="32"/>
      <c r="F11" s="32"/>
      <c r="G11" s="32"/>
      <c r="H11" s="32"/>
      <c r="I11" s="32"/>
    </row>
    <row r="12" spans="1:11" x14ac:dyDescent="0.4">
      <c r="E12" s="22"/>
      <c r="F12" s="22"/>
      <c r="G12" s="22"/>
      <c r="H12" s="22"/>
      <c r="I12" s="22"/>
    </row>
    <row r="13" spans="1:11" x14ac:dyDescent="0.4">
      <c r="E13" s="32"/>
      <c r="F13" s="32"/>
      <c r="G13" s="32"/>
      <c r="H13" s="32"/>
      <c r="I13" s="32"/>
    </row>
    <row r="14" spans="1:11" x14ac:dyDescent="0.4">
      <c r="J14" s="43"/>
      <c r="K14" s="43"/>
    </row>
    <row r="18" spans="5:8" x14ac:dyDescent="0.4">
      <c r="E18" s="136" t="s">
        <v>263</v>
      </c>
      <c r="F18" s="137"/>
      <c r="G18" s="136"/>
      <c r="H18" s="138">
        <f>SUM(H9:H17)</f>
        <v>26500</v>
      </c>
    </row>
    <row r="20" spans="5:8" x14ac:dyDescent="0.4">
      <c r="E20" s="139" t="s">
        <v>136</v>
      </c>
      <c r="F20" s="139"/>
      <c r="G20" s="139"/>
      <c r="H20" s="140">
        <f>H4-H18</f>
        <v>4723500</v>
      </c>
    </row>
  </sheetData>
  <hyperlinks>
    <hyperlink ref="K1" location="'Project Status'!A1" display="'Project Status'!A1" xr:uid="{83EE5C0E-27A0-4A9C-BCE2-8E4412DE4189}"/>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32.843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20497</v>
      </c>
      <c r="B4" s="11">
        <f>VLOOKUP(A4,'Project Status'!C:D,2,FALSE)</f>
        <v>529</v>
      </c>
      <c r="C4" s="11" t="str">
        <f>VLOOKUP(A4,'Project Status'!C:E,3,FALSE)</f>
        <v>CP_400127</v>
      </c>
      <c r="D4" s="11" t="str">
        <f>VLOOKUP(A4,'Project Status'!C:F,4,FALSE)</f>
        <v>21000 - Peabody College: Office of the Dean</v>
      </c>
      <c r="E4" s="11" t="str">
        <f>VLOOKUP(A4,'Project Status'!C:I,7,FALSE)</f>
        <v>Jesup - Roof Replacement</v>
      </c>
      <c r="F4" s="11" t="str">
        <f>VLOOKUP(A4,'Project Status'!C:K,8,FALSE)</f>
        <v>Complete</v>
      </c>
      <c r="G4" s="11" t="str">
        <f>VLOOKUP(A4,'Project Status'!C:L,9,FALSE)</f>
        <v>Finalized</v>
      </c>
      <c r="H4" s="40">
        <f>VLOOKUP(A4,'Project Status'!C:N,11,FALSE)</f>
        <v>456850</v>
      </c>
      <c r="I4" s="173">
        <f>VLOOKUP(B4,'Project Status'!D:O,11,FALSE)</f>
        <v>456850</v>
      </c>
    </row>
    <row r="8" spans="1:11" x14ac:dyDescent="0.4">
      <c r="E8" s="41" t="s">
        <v>124</v>
      </c>
    </row>
    <row r="9" spans="1:11" x14ac:dyDescent="0.4">
      <c r="E9" s="22" t="s">
        <v>134</v>
      </c>
      <c r="F9" s="204">
        <v>44769</v>
      </c>
      <c r="H9" s="42">
        <v>79415.5</v>
      </c>
    </row>
    <row r="10" spans="1:11" x14ac:dyDescent="0.4">
      <c r="E10" s="32" t="s">
        <v>137</v>
      </c>
      <c r="F10" s="20"/>
      <c r="G10" s="20"/>
      <c r="H10" s="71">
        <f>372434.5+5000</f>
        <v>377434.5</v>
      </c>
    </row>
    <row r="11" spans="1:11" x14ac:dyDescent="0.4">
      <c r="E11" s="22" t="s">
        <v>333</v>
      </c>
      <c r="F11" t="s">
        <v>300</v>
      </c>
      <c r="H11" s="42">
        <v>-44850</v>
      </c>
    </row>
    <row r="18" spans="5:8" x14ac:dyDescent="0.4">
      <c r="E18" s="136" t="s">
        <v>263</v>
      </c>
      <c r="F18" s="137"/>
      <c r="G18" s="136"/>
      <c r="H18" s="138">
        <f>SUM(H9:H17)</f>
        <v>412000</v>
      </c>
    </row>
    <row r="20" spans="5:8" x14ac:dyDescent="0.4">
      <c r="E20" s="139" t="s">
        <v>136</v>
      </c>
      <c r="F20" s="139"/>
      <c r="G20" s="139"/>
      <c r="H20" s="140">
        <f>I4-H18</f>
        <v>44850</v>
      </c>
    </row>
  </sheetData>
  <hyperlinks>
    <hyperlink ref="K1" location="'Project Status'!A1" display="'Project Status'!A1" xr:uid="{442995CA-F49C-4890-9FF0-75DAB9A467F0}"/>
  </hyperlinks>
  <pageMargins left="0.7" right="0.7" top="0.75" bottom="0.75" header="0.3" footer="0.3"/>
  <pageSetup scale="6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411-66F9-46BD-B491-CE4D2BDFCD9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4.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20506</v>
      </c>
      <c r="B4" s="11">
        <f>VLOOKUP(A4,'Project Status'!C:D,2,FALSE)</f>
        <v>1170</v>
      </c>
      <c r="C4" s="11" t="str">
        <f>VLOOKUP(A4,'Project Status'!C:E,3,FALSE)</f>
        <v>CP_400192</v>
      </c>
      <c r="D4" s="11" t="str">
        <f>VLOOKUP(A4,'Project Status'!C:F,4,FALSE)</f>
        <v>21000 - Peabody College: Office of the Dean</v>
      </c>
      <c r="E4" s="11" t="str">
        <f>VLOOKUP(A4,'Project Status'!C:I,7,FALSE)</f>
        <v>Wyatt Center - Window Replacement</v>
      </c>
      <c r="F4" s="11" t="str">
        <f>VLOOKUP(A4,'Project Status'!C:K,8,FALSE)</f>
        <v>Complete</v>
      </c>
      <c r="G4" s="11" t="str">
        <f>VLOOKUP(A4,'Project Status'!C:L,9,FALSE)</f>
        <v>Finalized</v>
      </c>
      <c r="H4" s="89">
        <f>VLOOKUP(A4,'Project Status'!C:N,11,FALSE)</f>
        <v>344155.26</v>
      </c>
      <c r="I4" s="173">
        <f>VLOOKUP(B4,'Project Status'!D:O,11,FALSE)</f>
        <v>344155.26</v>
      </c>
    </row>
    <row r="8" spans="1:11" x14ac:dyDescent="0.4">
      <c r="E8" s="41" t="s">
        <v>124</v>
      </c>
    </row>
    <row r="9" spans="1:11" x14ac:dyDescent="0.4">
      <c r="E9" s="22" t="s">
        <v>264</v>
      </c>
      <c r="F9" s="33" t="s">
        <v>139</v>
      </c>
      <c r="H9" s="42">
        <v>344155.26</v>
      </c>
    </row>
    <row r="10" spans="1:11" x14ac:dyDescent="0.4">
      <c r="E10" s="22" t="s">
        <v>333</v>
      </c>
      <c r="F10" t="s">
        <v>300</v>
      </c>
      <c r="H10" s="42">
        <v>-36379</v>
      </c>
    </row>
    <row r="12" spans="1:11" x14ac:dyDescent="0.4">
      <c r="E12" s="22"/>
    </row>
    <row r="13" spans="1:11" x14ac:dyDescent="0.4">
      <c r="E13" s="22"/>
      <c r="F13" s="10"/>
      <c r="G13" s="10"/>
      <c r="H13" s="45"/>
    </row>
    <row r="14" spans="1:11" x14ac:dyDescent="0.4">
      <c r="E14" s="22"/>
    </row>
    <row r="18" spans="5:8" x14ac:dyDescent="0.4">
      <c r="E18" s="136" t="s">
        <v>263</v>
      </c>
      <c r="F18" s="137"/>
      <c r="G18" s="136"/>
      <c r="H18" s="138">
        <f>SUM(H9:H17)</f>
        <v>307776.26</v>
      </c>
    </row>
    <row r="20" spans="5:8" x14ac:dyDescent="0.4">
      <c r="E20" s="139" t="s">
        <v>136</v>
      </c>
      <c r="F20" s="139"/>
      <c r="G20" s="139"/>
      <c r="H20" s="140">
        <f>I4-H18</f>
        <v>36379</v>
      </c>
    </row>
  </sheetData>
  <hyperlinks>
    <hyperlink ref="K1" location="'Project Status'!A1" display="'Project Status'!A1" xr:uid="{6B2AECA2-CEB3-47AB-8FFB-58AED0692E6C}"/>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EF5E-B4FA-4E52-9E64-945A930AA12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 bestFit="1" customWidth="1"/>
    <col min="6" max="6" width="32.3046875" bestFit="1" customWidth="1"/>
    <col min="7" max="7" width="12.3046875" bestFit="1" customWidth="1"/>
    <col min="8" max="8" width="16.53515625" bestFit="1" customWidth="1"/>
    <col min="9" max="9" width="13.304687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20562</v>
      </c>
      <c r="B4" s="11">
        <f>VLOOKUP(A4,'Project Status'!C:D,2,FALSE)</f>
        <v>4564</v>
      </c>
      <c r="C4" s="11" t="str">
        <f>VLOOKUP(A4,'Project Status'!C:E,3,FALSE)</f>
        <v>CP_400175</v>
      </c>
      <c r="D4" s="11" t="str">
        <f>VLOOKUP(A4,'Project Status'!C:F,4,FALSE)</f>
        <v>21000 - Peabody College: Office of the Dean</v>
      </c>
      <c r="E4" s="11" t="str">
        <f>VLOOKUP(A4,'Project Status'!C:I,7,FALSE)</f>
        <v>Wyatt Center - VAV Replacement</v>
      </c>
      <c r="F4" s="11" t="str">
        <f>VLOOKUP(A4,'Project Status'!C:K,8,FALSE)</f>
        <v>Complete</v>
      </c>
      <c r="G4" s="11" t="str">
        <f>VLOOKUP(A4,'Project Status'!C:L,9,FALSE)</f>
        <v>Finalized</v>
      </c>
      <c r="H4" s="89">
        <f>VLOOKUP(A4,'Project Status'!C:N,11,FALSE)</f>
        <v>400000</v>
      </c>
      <c r="I4" s="173">
        <f>VLOOKUP(B4,'Project Status'!D:O,11,FALSE)</f>
        <v>405791</v>
      </c>
    </row>
    <row r="8" spans="1:11" x14ac:dyDescent="0.4">
      <c r="E8" s="41" t="s">
        <v>124</v>
      </c>
    </row>
    <row r="9" spans="1:11" x14ac:dyDescent="0.4">
      <c r="E9" s="22" t="s">
        <v>230</v>
      </c>
      <c r="F9" s="33" t="s">
        <v>139</v>
      </c>
      <c r="H9" s="42">
        <v>405791</v>
      </c>
    </row>
    <row r="10" spans="1:11" x14ac:dyDescent="0.4">
      <c r="E10" s="22" t="s">
        <v>384</v>
      </c>
      <c r="F10" t="s">
        <v>300</v>
      </c>
      <c r="H10" s="42">
        <v>-43231.360000000001</v>
      </c>
    </row>
    <row r="13" spans="1:11" x14ac:dyDescent="0.4">
      <c r="F13" s="10"/>
      <c r="G13" s="10"/>
      <c r="H13" s="45"/>
    </row>
    <row r="18" spans="5:8" x14ac:dyDescent="0.4">
      <c r="E18" s="136" t="s">
        <v>263</v>
      </c>
      <c r="F18" s="137"/>
      <c r="G18" s="136"/>
      <c r="H18" s="138">
        <f>SUM(H9:H17)</f>
        <v>362559.64</v>
      </c>
    </row>
    <row r="20" spans="5:8" x14ac:dyDescent="0.4">
      <c r="E20" s="139" t="s">
        <v>136</v>
      </c>
      <c r="F20" s="139"/>
      <c r="G20" s="139"/>
      <c r="H20" s="140">
        <f>I4-H18</f>
        <v>43231.359999999986</v>
      </c>
    </row>
  </sheetData>
  <hyperlinks>
    <hyperlink ref="K1" location="'Project Status'!A1" display="'Project Status'!A1" xr:uid="{A927072C-3DC7-480C-8A16-E5883B6FDD97}"/>
  </hyperlink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sheetPr>
  <dimension ref="A1:L19"/>
  <sheetViews>
    <sheetView tabSelected="1" zoomScaleNormal="100" workbookViewId="0">
      <selection activeCell="O1" sqref="O1"/>
    </sheetView>
  </sheetViews>
  <sheetFormatPr defaultRowHeight="14.6" x14ac:dyDescent="0.4"/>
  <cols>
    <col min="1" max="1" width="19.84375" customWidth="1"/>
    <col min="2" max="2" width="12.53515625" customWidth="1"/>
    <col min="3" max="7" width="15.3046875" customWidth="1"/>
  </cols>
  <sheetData>
    <row r="1" spans="1:12" s="8" customFormat="1" x14ac:dyDescent="0.4">
      <c r="A1" s="10" t="s">
        <v>189</v>
      </c>
      <c r="B1"/>
      <c r="C1"/>
      <c r="D1"/>
      <c r="E1"/>
      <c r="F1"/>
      <c r="G1"/>
    </row>
    <row r="2" spans="1:12" s="8" customFormat="1" x14ac:dyDescent="0.4">
      <c r="A2" s="86" t="s">
        <v>112</v>
      </c>
      <c r="B2" s="85">
        <v>45694</v>
      </c>
      <c r="C2"/>
      <c r="D2"/>
      <c r="E2"/>
      <c r="F2"/>
      <c r="G2"/>
    </row>
    <row r="4" spans="1:12" x14ac:dyDescent="0.4">
      <c r="A4" s="10"/>
      <c r="D4" s="61"/>
      <c r="E4" s="61"/>
      <c r="F4" s="61"/>
    </row>
    <row r="5" spans="1:12" ht="43.75" x14ac:dyDescent="0.4">
      <c r="A5" s="23" t="s">
        <v>86</v>
      </c>
      <c r="B5" s="60" t="s">
        <v>99</v>
      </c>
      <c r="C5" s="117" t="s">
        <v>419</v>
      </c>
      <c r="D5" s="27" t="s">
        <v>416</v>
      </c>
      <c r="E5" s="28" t="s">
        <v>417</v>
      </c>
      <c r="F5" s="235" t="s">
        <v>420</v>
      </c>
      <c r="G5" s="118" t="s">
        <v>366</v>
      </c>
    </row>
    <row r="6" spans="1:12" x14ac:dyDescent="0.4">
      <c r="A6" t="s">
        <v>194</v>
      </c>
      <c r="B6" s="21">
        <f>Contributions!B5</f>
        <v>1075461.7320675128</v>
      </c>
      <c r="C6" s="243">
        <f>Contributions!C5+Contributions!G5+Contributions!K5</f>
        <v>12747868.730959009</v>
      </c>
      <c r="D6" s="241">
        <f>'Shared Building Allocation'!F5*1000000</f>
        <v>2276289.625</v>
      </c>
      <c r="E6" s="239">
        <f>'Shared Building Allocation'!K5*1000000</f>
        <v>2619344.7040000004</v>
      </c>
      <c r="F6" s="237">
        <f>'Shared Building Allocation'!P5*1000000</f>
        <v>3035079</v>
      </c>
      <c r="G6" s="120">
        <f>C6-D6-E6-F6</f>
        <v>4817155.4019590095</v>
      </c>
      <c r="I6" s="178"/>
      <c r="J6" s="178"/>
      <c r="K6" s="178"/>
      <c r="L6" s="178"/>
    </row>
    <row r="7" spans="1:12" x14ac:dyDescent="0.4">
      <c r="A7" t="s">
        <v>196</v>
      </c>
      <c r="B7" s="21">
        <f>Contributions!B6</f>
        <v>121421.42689276834</v>
      </c>
      <c r="C7" s="244">
        <f>Contributions!C6+Contributions!G6+Contributions!K6</f>
        <v>1496829.281796532</v>
      </c>
      <c r="D7" s="242">
        <f>'Shared Building Allocation'!F6*1000000</f>
        <v>574290</v>
      </c>
      <c r="E7" s="240">
        <f>'Shared Building Allocation'!K6*1000000</f>
        <v>1916810</v>
      </c>
      <c r="F7" s="238">
        <f>'Shared Building Allocation'!P6*1000000</f>
        <v>1077000</v>
      </c>
      <c r="G7" s="121">
        <f t="shared" ref="G7:G14" si="0">C7-D7-E7-F7</f>
        <v>-2071270.718203468</v>
      </c>
      <c r="I7" s="178"/>
      <c r="J7" s="178"/>
      <c r="K7" s="178"/>
      <c r="L7" s="178"/>
    </row>
    <row r="8" spans="1:12" x14ac:dyDescent="0.4">
      <c r="A8" t="s">
        <v>197</v>
      </c>
      <c r="B8" s="21">
        <f>Contributions!B7</f>
        <v>57814.730923479161</v>
      </c>
      <c r="C8" s="244">
        <f>Contributions!C7+Contributions!G7+Contributions!K7</f>
        <v>692779.00378588098</v>
      </c>
      <c r="D8" s="242">
        <f>'Shared Building Allocation'!F7*1000000</f>
        <v>96362.5</v>
      </c>
      <c r="E8" s="240">
        <f>'Shared Building Allocation'!K7*1000000</f>
        <v>3660360</v>
      </c>
      <c r="F8" s="238">
        <f>'Shared Building Allocation'!P7*1000000</f>
        <v>0</v>
      </c>
      <c r="G8" s="121">
        <f t="shared" si="0"/>
        <v>-3063943.4962141188</v>
      </c>
      <c r="I8" s="178"/>
      <c r="J8" s="178"/>
      <c r="K8" s="178"/>
      <c r="L8" s="178"/>
    </row>
    <row r="9" spans="1:12" x14ac:dyDescent="0.4">
      <c r="A9" t="s">
        <v>198</v>
      </c>
      <c r="B9" s="21">
        <f>Contributions!B8</f>
        <v>537962.332719445</v>
      </c>
      <c r="C9" s="244">
        <f>Contributions!C8+Contributions!G8+Contributions!K8</f>
        <v>6515613.1942513157</v>
      </c>
      <c r="D9" s="242">
        <f>'Shared Building Allocation'!F8*1000000</f>
        <v>353000</v>
      </c>
      <c r="E9" s="240">
        <f>'Shared Building Allocation'!K8*1000000</f>
        <v>24933</v>
      </c>
      <c r="F9" s="238">
        <f>'Shared Building Allocation'!P8*1000000</f>
        <v>2308408.64</v>
      </c>
      <c r="G9" s="121">
        <f t="shared" si="0"/>
        <v>3829271.5542513155</v>
      </c>
      <c r="I9" s="178"/>
      <c r="J9" s="178"/>
      <c r="K9" s="178"/>
      <c r="L9" s="178"/>
    </row>
    <row r="10" spans="1:12" x14ac:dyDescent="0.4">
      <c r="A10" t="s">
        <v>199</v>
      </c>
      <c r="B10" s="21">
        <f>Contributions!B9</f>
        <v>120155.48460329951</v>
      </c>
      <c r="C10" s="244">
        <f>Contributions!C9+Contributions!G9+Contributions!K9</f>
        <v>1427819.0630692691</v>
      </c>
      <c r="D10" s="242">
        <f>'Shared Building Allocation'!F9*1000000</f>
        <v>1206134.5</v>
      </c>
      <c r="E10" s="240">
        <f>'Shared Building Allocation'!K9*1000000</f>
        <v>661160</v>
      </c>
      <c r="F10" s="238">
        <f>'Shared Building Allocation'!P9*1000000</f>
        <v>160859.14000000001</v>
      </c>
      <c r="G10" s="121">
        <f t="shared" si="0"/>
        <v>-600334.57693073095</v>
      </c>
      <c r="I10" s="178"/>
      <c r="J10" s="178"/>
      <c r="K10" s="178"/>
      <c r="L10" s="178"/>
    </row>
    <row r="11" spans="1:12" x14ac:dyDescent="0.4">
      <c r="A11" t="s">
        <v>201</v>
      </c>
      <c r="B11" s="21">
        <f>Contributions!B10</f>
        <v>280022.39987629937</v>
      </c>
      <c r="C11" s="244">
        <f>Contributions!C10+Contributions!G10+Contributions!K10</f>
        <v>3441675.5551475156</v>
      </c>
      <c r="D11" s="242">
        <f>'Shared Building Allocation'!F10*1000000</f>
        <v>1036871.8750000001</v>
      </c>
      <c r="E11" s="240">
        <f>'Shared Building Allocation'!K10*1000000</f>
        <v>-17509.674000000003</v>
      </c>
      <c r="F11" s="238">
        <f>'Shared Building Allocation'!P10*1000000</f>
        <v>1000675.0000000002</v>
      </c>
      <c r="G11" s="121">
        <f t="shared" si="0"/>
        <v>1421638.3541475155</v>
      </c>
      <c r="I11" s="178"/>
      <c r="J11" s="178"/>
      <c r="K11" s="178"/>
      <c r="L11" s="178"/>
    </row>
    <row r="12" spans="1:12" x14ac:dyDescent="0.4">
      <c r="A12" t="s">
        <v>200</v>
      </c>
      <c r="B12" s="21">
        <f>Contributions!B11</f>
        <v>106166.70000000001</v>
      </c>
      <c r="C12" s="244">
        <f>Contributions!C11+Contributions!G11+Contributions!K11</f>
        <v>1261583.3214</v>
      </c>
      <c r="D12" s="242">
        <f>'Shared Building Allocation'!F11*1000000</f>
        <v>4900</v>
      </c>
      <c r="E12" s="240">
        <f>'Shared Building Allocation'!K11*1000000</f>
        <v>286527</v>
      </c>
      <c r="F12" s="238">
        <f>'Shared Building Allocation'!P11*1000000</f>
        <v>0</v>
      </c>
      <c r="G12" s="121">
        <f t="shared" si="0"/>
        <v>970156.32140000002</v>
      </c>
      <c r="I12" s="178"/>
      <c r="J12" s="178"/>
      <c r="K12" s="178"/>
      <c r="L12" s="178"/>
    </row>
    <row r="13" spans="1:12" x14ac:dyDescent="0.4">
      <c r="A13" t="s">
        <v>195</v>
      </c>
      <c r="B13" s="21">
        <f>Contributions!B12</f>
        <v>59008.361666666671</v>
      </c>
      <c r="C13" s="244">
        <f>Contributions!C12+Contributions!G12+Contributions!K12</f>
        <v>1046789.5035213984</v>
      </c>
      <c r="D13" s="242">
        <f>'Shared Building Allocation'!F12*1000000</f>
        <v>300000</v>
      </c>
      <c r="E13" s="240">
        <f>'Shared Building Allocation'!K12*1000000</f>
        <v>1576500</v>
      </c>
      <c r="F13" s="238">
        <f>'Shared Building Allocation'!P12*1000000</f>
        <v>1600000</v>
      </c>
      <c r="G13" s="121">
        <f t="shared" si="0"/>
        <v>-2429710.4964786014</v>
      </c>
      <c r="I13" s="178"/>
      <c r="J13" s="178"/>
      <c r="K13" s="178"/>
      <c r="L13" s="178"/>
    </row>
    <row r="14" spans="1:12" x14ac:dyDescent="0.4">
      <c r="A14" t="s">
        <v>202</v>
      </c>
      <c r="B14" s="21">
        <f>Contributions!B13</f>
        <v>390796.88477064227</v>
      </c>
      <c r="C14" s="244">
        <f>Contributions!C13+Contributions!G13+Contributions!K13</f>
        <v>4620109.0983343218</v>
      </c>
      <c r="D14" s="242">
        <f>'Shared Building Allocation'!F13*1000000</f>
        <v>2949437.76</v>
      </c>
      <c r="E14" s="240">
        <f>'Shared Building Allocation'!K13*1000000</f>
        <v>600347.91</v>
      </c>
      <c r="F14" s="238">
        <f>'Shared Building Allocation'!P13*1000000</f>
        <v>0</v>
      </c>
      <c r="G14" s="121">
        <f t="shared" si="0"/>
        <v>1070323.4283343218</v>
      </c>
      <c r="I14" s="178"/>
      <c r="J14" s="178"/>
      <c r="K14" s="178"/>
      <c r="L14" s="178"/>
    </row>
    <row r="15" spans="1:12" x14ac:dyDescent="0.4">
      <c r="A15" s="24"/>
      <c r="B15" s="24">
        <v>2748810.0535201132</v>
      </c>
      <c r="C15" s="58">
        <f>SUM(C6:C14)</f>
        <v>33251066.752265237</v>
      </c>
      <c r="D15" s="57">
        <f>SUM(D6:D14)</f>
        <v>8797286.2599999998</v>
      </c>
      <c r="E15" s="56">
        <f>SUM(E6:E14)</f>
        <v>11328472.939999999</v>
      </c>
      <c r="F15" s="236">
        <f>SUM(F6:F14)</f>
        <v>9182021.7800000012</v>
      </c>
      <c r="G15" s="119">
        <f>SUM(G6:G14)</f>
        <v>3943285.7722652424</v>
      </c>
      <c r="I15" s="178"/>
      <c r="J15" s="178"/>
      <c r="K15" s="178"/>
      <c r="L15" s="178"/>
    </row>
    <row r="16" spans="1:12" x14ac:dyDescent="0.4">
      <c r="A16" s="26"/>
    </row>
    <row r="17" spans="1:7" x14ac:dyDescent="0.4">
      <c r="A17" s="20"/>
      <c r="B17" s="20"/>
      <c r="C17" s="174"/>
      <c r="E17" s="35"/>
    </row>
    <row r="18" spans="1:7" x14ac:dyDescent="0.4">
      <c r="C18" s="35"/>
      <c r="D18" s="35"/>
      <c r="E18" s="35"/>
      <c r="F18" s="35"/>
      <c r="G18" s="35"/>
    </row>
    <row r="19" spans="1:7" x14ac:dyDescent="0.4">
      <c r="D19" s="35"/>
      <c r="E19" s="35"/>
      <c r="F19" s="35"/>
      <c r="G19" s="43"/>
    </row>
  </sheetData>
  <pageMargins left="0.7" right="0.7" top="0.75" bottom="0.75" header="0.3" footer="0.3"/>
  <pageSetup orientation="landscape"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6.69140625" bestFit="1" customWidth="1"/>
    <col min="3" max="3" width="11" bestFit="1" customWidth="1"/>
    <col min="4" max="4" width="40.07421875" bestFit="1" customWidth="1"/>
    <col min="5" max="5" width="45.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20566</v>
      </c>
      <c r="B4" s="11">
        <f>VLOOKUP(A4,'Project Status'!C:D,2,FALSE)</f>
        <v>20054</v>
      </c>
      <c r="C4" s="11" t="str">
        <f>VLOOKUP(A4,'Project Status'!C:E,3,FALSE)</f>
        <v>CP_400151</v>
      </c>
      <c r="D4" s="11" t="str">
        <f>VLOOKUP(A4,'Project Status'!C:F,4,FALSE)</f>
        <v>12000 - Arts and Science: Office of the Dean</v>
      </c>
      <c r="E4" s="11" t="str">
        <f>VLOOKUP(A4,'Project Status'!C:I,7,FALSE)</f>
        <v>SC Chemistry (SC7) - Elevator 1 &amp; 2 Modernization</v>
      </c>
      <c r="F4" s="11" t="str">
        <f>VLOOKUP(A4,'Project Status'!C:K,8,FALSE)</f>
        <v>Complete</v>
      </c>
      <c r="G4" s="11" t="str">
        <f>VLOOKUP(A4,'Project Status'!C:L,9,FALSE)</f>
        <v>Finalized</v>
      </c>
      <c r="H4" s="40">
        <f>VLOOKUP(A4,'Project Status'!C:N,11,FALSE)</f>
        <v>781870</v>
      </c>
      <c r="I4" s="173">
        <f>VLOOKUP(B4,'Project Status'!D:O,11,FALSE)</f>
        <v>781870</v>
      </c>
    </row>
    <row r="8" spans="1:11" x14ac:dyDescent="0.4">
      <c r="E8" s="41" t="s">
        <v>124</v>
      </c>
    </row>
    <row r="9" spans="1:11" x14ac:dyDescent="0.4">
      <c r="E9" s="22" t="s">
        <v>166</v>
      </c>
      <c r="F9" s="33" t="s">
        <v>139</v>
      </c>
      <c r="H9" s="98">
        <v>17050</v>
      </c>
    </row>
    <row r="10" spans="1:11" x14ac:dyDescent="0.4">
      <c r="E10" s="22" t="s">
        <v>225</v>
      </c>
      <c r="F10" t="s">
        <v>213</v>
      </c>
      <c r="H10" s="43">
        <v>764820</v>
      </c>
    </row>
    <row r="11" spans="1:11" x14ac:dyDescent="0.4">
      <c r="E11" s="22" t="s">
        <v>367</v>
      </c>
      <c r="F11" t="s">
        <v>379</v>
      </c>
      <c r="H11" s="43">
        <v>-59283.32</v>
      </c>
    </row>
    <row r="18" spans="5:8" x14ac:dyDescent="0.4">
      <c r="E18" s="136" t="s">
        <v>263</v>
      </c>
      <c r="F18" s="137"/>
      <c r="G18" s="136"/>
      <c r="H18" s="138">
        <f>SUM(H9:H17)</f>
        <v>722586.68</v>
      </c>
    </row>
    <row r="20" spans="5:8" x14ac:dyDescent="0.4">
      <c r="E20" s="139" t="s">
        <v>136</v>
      </c>
      <c r="F20" s="139"/>
      <c r="G20" s="139"/>
      <c r="H20" s="140">
        <f>I4-H18</f>
        <v>59283.319999999949</v>
      </c>
    </row>
  </sheetData>
  <hyperlinks>
    <hyperlink ref="K1" location="'Project Status'!A1" display="'Project Status'!A1" xr:uid="{9D9D91B3-96ED-43B6-8190-1DB57895DB45}"/>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861-DF3A-4CB2-ADBB-E60B0AC284CC}">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3046875" bestFit="1" customWidth="1"/>
    <col min="6" max="6" width="32.3046875" bestFit="1" customWidth="1"/>
    <col min="7" max="7" width="11.3046875" bestFit="1" customWidth="1"/>
    <col min="8" max="8" width="16.53515625" bestFit="1" customWidth="1"/>
    <col min="9" max="9" width="1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20573</v>
      </c>
      <c r="B4" s="11">
        <f>VLOOKUP(A4,'Project Status'!C:D,2,FALSE)</f>
        <v>8047</v>
      </c>
      <c r="C4" s="11" t="str">
        <f>VLOOKUP(A4,'Project Status'!C:E,3,FALSE)</f>
        <v>CP_400185</v>
      </c>
      <c r="D4" s="11" t="str">
        <f>VLOOKUP(A4,'Project Status'!C:F,4,FALSE)</f>
        <v>21000 - Peabody College: Office of the Dean</v>
      </c>
      <c r="E4" s="11" t="str">
        <f>VLOOKUP(A4,'Project Status'!C:I,7,FALSE)</f>
        <v>Wyatt Center - Roof Replacement</v>
      </c>
      <c r="F4" s="11" t="str">
        <f>VLOOKUP(A4,'Project Status'!C:K,8,FALSE)</f>
        <v>Complete</v>
      </c>
      <c r="G4" s="11" t="str">
        <f>VLOOKUP(A4,'Project Status'!C:L,9,FALSE)</f>
        <v>Finalized</v>
      </c>
      <c r="H4" s="40">
        <f>VLOOKUP(A4,'Project Status'!C:N,11,FALSE)</f>
        <v>1232681</v>
      </c>
      <c r="I4" s="173">
        <f>VLOOKUP(B4,'Project Status'!D:O,11,FALSE)</f>
        <v>1232681</v>
      </c>
    </row>
    <row r="8" spans="1:11" x14ac:dyDescent="0.4">
      <c r="E8" s="41" t="s">
        <v>124</v>
      </c>
    </row>
    <row r="9" spans="1:11" x14ac:dyDescent="0.4">
      <c r="E9" t="s">
        <v>237</v>
      </c>
      <c r="F9" s="33" t="s">
        <v>139</v>
      </c>
      <c r="H9" s="42">
        <v>1232681</v>
      </c>
    </row>
    <row r="10" spans="1:11" x14ac:dyDescent="0.4">
      <c r="E10" s="22" t="s">
        <v>384</v>
      </c>
      <c r="F10" t="s">
        <v>300</v>
      </c>
      <c r="H10" s="42">
        <v>-119221</v>
      </c>
    </row>
    <row r="13" spans="1:11" x14ac:dyDescent="0.4">
      <c r="F13" s="10"/>
      <c r="G13" s="10"/>
      <c r="H13" s="45"/>
    </row>
    <row r="18" spans="5:8" x14ac:dyDescent="0.4">
      <c r="E18" s="136" t="s">
        <v>263</v>
      </c>
      <c r="F18" s="137"/>
      <c r="G18" s="136"/>
      <c r="H18" s="138">
        <f>SUM(H9:H17)</f>
        <v>1113460</v>
      </c>
    </row>
    <row r="20" spans="5:8" x14ac:dyDescent="0.4">
      <c r="E20" s="139" t="s">
        <v>136</v>
      </c>
      <c r="F20" s="139"/>
      <c r="G20" s="139"/>
      <c r="H20" s="140">
        <f>I4-H18</f>
        <v>119221</v>
      </c>
    </row>
  </sheetData>
  <hyperlinks>
    <hyperlink ref="K1" location="'Project Status'!A1" display="'Project Status'!A1" xr:uid="{79510245-6057-43AB-81B3-AE76FDEE2F69}"/>
  </hyperlinks>
  <pageMargins left="0.7" right="0.7" top="0.75" bottom="0.75" header="0.3" footer="0.3"/>
  <pageSetup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046875" bestFit="1" customWidth="1"/>
    <col min="5" max="5" width="31" bestFit="1" customWidth="1"/>
    <col min="6" max="6" width="32.3046875" bestFit="1" customWidth="1"/>
    <col min="7" max="7" width="12.3046875" bestFit="1" customWidth="1"/>
    <col min="8" max="8" width="16.53515625" bestFit="1" customWidth="1"/>
    <col min="9" max="9" width="13.304687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20574</v>
      </c>
      <c r="B4" s="11">
        <f>VLOOKUP(A4,'Project Status'!C:D,2,FALSE)</f>
        <v>8145</v>
      </c>
      <c r="C4" s="11" t="str">
        <f>VLOOKUP(A4,'Project Status'!C:E,3,FALSE)</f>
        <v>CP_400164</v>
      </c>
      <c r="D4" s="11" t="str">
        <f>VLOOKUP(A4,'Project Status'!C:F,4,FALSE)</f>
        <v>18200 - Basic Sciences: Office of the Dean</v>
      </c>
      <c r="E4" s="11" t="str">
        <f>VLOOKUP(A4,'Project Status'!C:I,7,FALSE)</f>
        <v>MRB III - Steam Coil Replacement</v>
      </c>
      <c r="F4" s="11" t="str">
        <f>VLOOKUP(A4,'Project Status'!C:K,8,FALSE)</f>
        <v>Complete</v>
      </c>
      <c r="G4" s="11" t="str">
        <f>VLOOKUP(A4,'Project Status'!C:L,9,FALSE)</f>
        <v>Finalized</v>
      </c>
      <c r="H4" s="40">
        <f>VLOOKUP(A4,'Project Status'!C:N,11,FALSE)</f>
        <v>218202</v>
      </c>
      <c r="I4" s="173">
        <f>VLOOKUP(B4,'Project Status'!D:O,11,FALSE)</f>
        <v>218202</v>
      </c>
    </row>
    <row r="8" spans="1:11" x14ac:dyDescent="0.4">
      <c r="E8" s="41" t="s">
        <v>124</v>
      </c>
    </row>
    <row r="9" spans="1:11" x14ac:dyDescent="0.4">
      <c r="E9" s="22" t="s">
        <v>214</v>
      </c>
      <c r="F9" s="33" t="s">
        <v>139</v>
      </c>
      <c r="H9" s="42">
        <v>218202</v>
      </c>
    </row>
    <row r="10" spans="1:11" x14ac:dyDescent="0.4">
      <c r="E10" s="22" t="s">
        <v>384</v>
      </c>
      <c r="F10" t="s">
        <v>300</v>
      </c>
      <c r="H10" s="42">
        <v>-22537</v>
      </c>
    </row>
    <row r="18" spans="5:8" x14ac:dyDescent="0.4">
      <c r="E18" s="136" t="s">
        <v>263</v>
      </c>
      <c r="F18" s="137"/>
      <c r="G18" s="136"/>
      <c r="H18" s="138">
        <f>SUM(H9:H17)</f>
        <v>195665</v>
      </c>
    </row>
    <row r="20" spans="5:8" x14ac:dyDescent="0.4">
      <c r="E20" s="139" t="s">
        <v>136</v>
      </c>
      <c r="F20" s="139"/>
      <c r="G20" s="139"/>
      <c r="H20" s="140">
        <f>I4-H18</f>
        <v>22537</v>
      </c>
    </row>
  </sheetData>
  <hyperlinks>
    <hyperlink ref="K1" location="'Project Status'!A1" display="'Project Status'!A1" xr:uid="{CC43B7B6-1C16-4566-88FC-577E36BE555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1:K20"/>
  <sheetViews>
    <sheetView zoomScale="90" zoomScaleNormal="90" workbookViewId="0">
      <selection activeCell="D89" sqref="D89"/>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57.53515625" bestFit="1" customWidth="1"/>
    <col min="6" max="6" width="7" bestFit="1" customWidth="1"/>
    <col min="7" max="7" width="11" bestFit="1" customWidth="1"/>
    <col min="8" max="8" width="16.53515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20577</v>
      </c>
      <c r="B4" s="11">
        <f>VLOOKUP(A4,'Project Status'!C:D,2,FALSE)</f>
        <v>8146</v>
      </c>
      <c r="C4" s="11" t="str">
        <f>VLOOKUP(A4,'Project Status'!C:E,3,FALSE)</f>
        <v>CP_400154</v>
      </c>
      <c r="D4" s="11" t="str">
        <f>VLOOKUP(A4,'Project Status'!C:F,4,FALSE)</f>
        <v>13000 - Blair: Office of the Dean</v>
      </c>
      <c r="E4" s="11" t="str">
        <f>VLOOKUP(A4,'Project Status'!C:I,7,FALSE)</f>
        <v>Blair School of Music - AHU - 1 Replacement - Phase 1 - FY25</v>
      </c>
      <c r="F4" s="11" t="str">
        <f>VLOOKUP(A4,'Project Status'!C:K,8,FALSE)</f>
        <v>Active</v>
      </c>
      <c r="G4" s="11" t="str">
        <f>VLOOKUP(A4,'Project Status'!C:L,9,FALSE)</f>
        <v>Construction</v>
      </c>
      <c r="H4" s="40">
        <f>VLOOKUP(A4,'Project Status'!C:N,11,FALSE)</f>
        <v>1300000</v>
      </c>
    </row>
    <row r="8" spans="1:11" x14ac:dyDescent="0.4">
      <c r="E8" s="41" t="s">
        <v>124</v>
      </c>
    </row>
    <row r="9" spans="1:11" x14ac:dyDescent="0.4">
      <c r="E9" s="22" t="s">
        <v>166</v>
      </c>
      <c r="F9" s="33" t="s">
        <v>139</v>
      </c>
      <c r="H9" s="42">
        <v>53750</v>
      </c>
    </row>
    <row r="10" spans="1:11" x14ac:dyDescent="0.4">
      <c r="E10" s="22" t="s">
        <v>230</v>
      </c>
      <c r="F10" t="s">
        <v>213</v>
      </c>
      <c r="H10" s="43">
        <v>169250</v>
      </c>
    </row>
    <row r="11" spans="1:11" x14ac:dyDescent="0.4">
      <c r="E11" s="22" t="s">
        <v>445</v>
      </c>
      <c r="F11" t="s">
        <v>321</v>
      </c>
      <c r="H11" s="43">
        <v>1077000</v>
      </c>
    </row>
    <row r="18" spans="5:8" x14ac:dyDescent="0.4">
      <c r="E18" s="136" t="s">
        <v>263</v>
      </c>
      <c r="F18" s="137"/>
      <c r="G18" s="136"/>
      <c r="H18" s="138">
        <f>SUM(H9:H17)</f>
        <v>1300000</v>
      </c>
    </row>
    <row r="20" spans="5:8" x14ac:dyDescent="0.4">
      <c r="E20" s="139" t="s">
        <v>136</v>
      </c>
      <c r="F20" s="139"/>
      <c r="G20" s="139"/>
      <c r="H20" s="140">
        <f>H4-H18</f>
        <v>0</v>
      </c>
    </row>
  </sheetData>
  <hyperlinks>
    <hyperlink ref="K1" location="'Project Status'!A1" display="'Project Status'!A1" xr:uid="{C511261E-C1B4-4F9A-B7F9-781B46E9E53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5.53515625" bestFit="1" customWidth="1"/>
    <col min="3" max="3" width="11" bestFit="1" customWidth="1"/>
    <col min="4" max="4" width="40.53515625" bestFit="1" customWidth="1"/>
    <col min="5" max="5" width="40.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20644</v>
      </c>
      <c r="B4" s="11">
        <f>VLOOKUP(A4,'Project Status'!C:D,2,FALSE)</f>
        <v>8241</v>
      </c>
      <c r="C4" s="11" t="str">
        <f>VLOOKUP(A4,'Project Status'!C:E,3,FALSE)</f>
        <v>CP_400171</v>
      </c>
      <c r="D4" s="11" t="str">
        <f>VLOOKUP(A4,'Project Status'!C:F,4,FALSE)</f>
        <v>21000 - Peabody College: Office of the Dean</v>
      </c>
      <c r="E4" s="11" t="str">
        <f>VLOOKUP(A4,'Project Status'!C:I,7,FALSE)</f>
        <v>Peabody Administration - Envelope Repairs</v>
      </c>
      <c r="F4" s="11" t="str">
        <f>VLOOKUP(A4,'Project Status'!C:K,8,FALSE)</f>
        <v>Complete</v>
      </c>
      <c r="G4" s="11" t="str">
        <f>VLOOKUP(A4,'Project Status'!C:L,9,FALSE)</f>
        <v>Finalized</v>
      </c>
      <c r="H4" s="89">
        <f>VLOOKUP(A4,'Project Status'!C:N,11,FALSE)</f>
        <v>630554</v>
      </c>
      <c r="I4" s="173">
        <f>VLOOKUP(B4,'Project Status'!D:O,11,FALSE)</f>
        <v>630554</v>
      </c>
    </row>
    <row r="8" spans="1:11" x14ac:dyDescent="0.4">
      <c r="E8" s="41" t="s">
        <v>124</v>
      </c>
    </row>
    <row r="9" spans="1:11" x14ac:dyDescent="0.4">
      <c r="E9" s="22" t="s">
        <v>225</v>
      </c>
      <c r="F9" s="33" t="s">
        <v>139</v>
      </c>
      <c r="H9" s="98">
        <v>2050</v>
      </c>
    </row>
    <row r="10" spans="1:11" x14ac:dyDescent="0.4">
      <c r="E10" s="22" t="s">
        <v>248</v>
      </c>
      <c r="F10" t="s">
        <v>213</v>
      </c>
      <c r="H10" s="42">
        <v>628504</v>
      </c>
    </row>
    <row r="11" spans="1:11" x14ac:dyDescent="0.4">
      <c r="E11" s="22" t="s">
        <v>384</v>
      </c>
      <c r="F11" t="s">
        <v>300</v>
      </c>
      <c r="H11" s="42">
        <v>-58765</v>
      </c>
    </row>
    <row r="18" spans="5:8" x14ac:dyDescent="0.4">
      <c r="E18" s="136" t="s">
        <v>263</v>
      </c>
      <c r="F18" s="137"/>
      <c r="G18" s="136"/>
      <c r="H18" s="138">
        <f>SUM(H9:H17)</f>
        <v>571789</v>
      </c>
    </row>
    <row r="20" spans="5:8" x14ac:dyDescent="0.4">
      <c r="E20" s="139" t="s">
        <v>136</v>
      </c>
      <c r="F20" s="139"/>
      <c r="G20" s="139"/>
      <c r="H20" s="140">
        <f>I4-H18</f>
        <v>58765</v>
      </c>
    </row>
  </sheetData>
  <hyperlinks>
    <hyperlink ref="K1" location="'Project Status'!A1" display="'Project Status'!A1" xr:uid="{1A0EC207-3842-436A-A75C-73A6F2FD3FAA}"/>
  </hyperlinks>
  <pageMargins left="0.7" right="0.7" top="0.75" bottom="0.75" header="0.3" footer="0.3"/>
  <pageSetup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71CB-2649-4F6C-A09D-A759B1CE48B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07421875" bestFit="1" customWidth="1"/>
    <col min="5" max="5" width="42.3046875" bestFit="1" customWidth="1"/>
    <col min="6" max="6" width="9" bestFit="1" customWidth="1"/>
    <col min="7" max="7" width="11.3046875" bestFit="1" customWidth="1"/>
    <col min="8" max="8" width="16.53515625" bestFit="1" customWidth="1"/>
    <col min="9" max="9" width="13.304687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20645</v>
      </c>
      <c r="B4" s="11">
        <f>VLOOKUP(A4,'Project Status'!C:D,2,FALSE)</f>
        <v>8239</v>
      </c>
      <c r="C4" s="11">
        <f>VLOOKUP(A4,'Project Status'!C:E,3,FALSE)</f>
        <v>0</v>
      </c>
      <c r="D4" s="11" t="str">
        <f>VLOOKUP(A4,'Project Status'!C:F,4,FALSE)</f>
        <v>12000 - Arts and Science: Office of the Dean</v>
      </c>
      <c r="E4" s="11" t="str">
        <f>VLOOKUP(A4,'Project Status'!C:I,7,FALSE)</f>
        <v>Benson Old Central - Replace Soffit and Doors</v>
      </c>
      <c r="F4" s="11" t="str">
        <f>VLOOKUP(A4,'Project Status'!C:K,8,FALSE)</f>
        <v>Complete</v>
      </c>
      <c r="G4" s="11" t="str">
        <f>VLOOKUP(A4,'Project Status'!C:L,9,FALSE)</f>
        <v>Finalized</v>
      </c>
      <c r="H4" s="40">
        <f>VLOOKUP(A4,'Project Status'!C:N,11,FALSE)</f>
        <v>125875</v>
      </c>
      <c r="I4" s="173">
        <f>VLOOKUP(B4,'Project Status'!D:O,11,FALSE)</f>
        <v>125875</v>
      </c>
    </row>
    <row r="8" spans="1:11" x14ac:dyDescent="0.4">
      <c r="E8" s="41" t="s">
        <v>124</v>
      </c>
    </row>
    <row r="9" spans="1:11" x14ac:dyDescent="0.4">
      <c r="E9" t="s">
        <v>275</v>
      </c>
      <c r="F9" s="33" t="s">
        <v>139</v>
      </c>
      <c r="H9" s="42">
        <v>125875</v>
      </c>
    </row>
    <row r="10" spans="1:11" x14ac:dyDescent="0.4">
      <c r="E10" t="s">
        <v>392</v>
      </c>
      <c r="F10" t="s">
        <v>300</v>
      </c>
      <c r="H10" s="42">
        <v>-11525</v>
      </c>
    </row>
    <row r="13" spans="1:11" x14ac:dyDescent="0.4">
      <c r="F13" s="10"/>
      <c r="G13" s="10"/>
      <c r="H13" s="45"/>
    </row>
    <row r="18" spans="5:8" x14ac:dyDescent="0.4">
      <c r="E18" s="136" t="s">
        <v>263</v>
      </c>
      <c r="F18" s="137"/>
      <c r="G18" s="136"/>
      <c r="H18" s="138">
        <f>SUM(H9:H17)</f>
        <v>114350</v>
      </c>
    </row>
    <row r="20" spans="5:8" x14ac:dyDescent="0.4">
      <c r="E20" s="139" t="s">
        <v>136</v>
      </c>
      <c r="F20" s="139"/>
      <c r="G20" s="139"/>
      <c r="H20" s="140">
        <f>I4-H18</f>
        <v>11525</v>
      </c>
    </row>
  </sheetData>
  <hyperlinks>
    <hyperlink ref="K1" location="'Project Status'!A1" display="'Project Status'!A1" xr:uid="{A5FAC7C1-1127-4CE7-9C4D-289D5BC5630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1:K20"/>
  <sheetViews>
    <sheetView topLeftCell="A2" zoomScale="90" zoomScaleNormal="90" workbookViewId="0">
      <selection activeCell="K2" sqref="K2"/>
    </sheetView>
  </sheetViews>
  <sheetFormatPr defaultRowHeight="14.6" x14ac:dyDescent="0.4"/>
  <cols>
    <col min="1" max="1" width="8.53515625" bestFit="1" customWidth="1"/>
    <col min="2" max="2" width="5.53515625" bestFit="1" customWidth="1"/>
    <col min="3" max="3" width="11" bestFit="1" customWidth="1"/>
    <col min="4" max="4" width="36.07421875" bestFit="1" customWidth="1"/>
    <col min="5" max="5" width="51.07421875" bestFit="1" customWidth="1"/>
    <col min="6" max="6" width="7" bestFit="1" customWidth="1"/>
    <col min="7" max="7" width="12.3046875" bestFit="1" customWidth="1"/>
    <col min="8" max="8" width="16.53515625" bestFit="1" customWidth="1"/>
  </cols>
  <sheetData>
    <row r="1" spans="1:11" x14ac:dyDescent="0.4">
      <c r="K1" s="141" t="s">
        <v>267</v>
      </c>
    </row>
    <row r="2" spans="1:11" x14ac:dyDescent="0.4">
      <c r="K2" s="141" t="s">
        <v>267</v>
      </c>
    </row>
    <row r="3" spans="1:11" x14ac:dyDescent="0.4">
      <c r="A3" s="37" t="s">
        <v>125</v>
      </c>
      <c r="B3" s="36" t="s">
        <v>126</v>
      </c>
      <c r="C3" s="37" t="s">
        <v>127</v>
      </c>
      <c r="D3" s="38" t="s">
        <v>86</v>
      </c>
      <c r="E3" s="38" t="s">
        <v>87</v>
      </c>
      <c r="F3" s="37" t="s">
        <v>128</v>
      </c>
      <c r="G3" s="37" t="s">
        <v>129</v>
      </c>
      <c r="H3" s="39" t="s">
        <v>130</v>
      </c>
    </row>
    <row r="4" spans="1:11" x14ac:dyDescent="0.4">
      <c r="A4" s="11">
        <v>20667</v>
      </c>
      <c r="B4" s="11">
        <f>VLOOKUP(A4,'Project Status'!C:D,2,FALSE)</f>
        <v>8168</v>
      </c>
      <c r="C4" s="11" t="str">
        <f>VLOOKUP(A4,'Project Status'!C:E,3,FALSE)</f>
        <v>CP_400160</v>
      </c>
      <c r="D4" s="11" t="str">
        <f>VLOOKUP(A4,'Project Status'!C:F,4,FALSE)</f>
        <v>15000 - Engineering: Office of the Dean</v>
      </c>
      <c r="E4" s="11" t="str">
        <f>VLOOKUP(A4,'Project Status'!C:I,7,FALSE)</f>
        <v>1025 16th Avenue - Mechanical and Electrical Upgrades</v>
      </c>
      <c r="F4" s="11" t="str">
        <f>VLOOKUP(A4,'Project Status'!C:K,8,FALSE)</f>
        <v>Active</v>
      </c>
      <c r="G4" s="11" t="str">
        <f>VLOOKUP(A4,'Project Status'!C:L,9,FALSE)</f>
        <v>Award</v>
      </c>
      <c r="H4" s="40">
        <f>VLOOKUP(A4,'Project Status'!C:N,11,FALSE)</f>
        <v>1550000</v>
      </c>
    </row>
    <row r="8" spans="1:11" x14ac:dyDescent="0.4">
      <c r="E8" s="41" t="s">
        <v>124</v>
      </c>
    </row>
    <row r="9" spans="1:11" x14ac:dyDescent="0.4">
      <c r="E9" s="22" t="s">
        <v>175</v>
      </c>
      <c r="F9" s="33" t="s">
        <v>139</v>
      </c>
      <c r="H9" s="42">
        <v>135000</v>
      </c>
    </row>
    <row r="10" spans="1:11" x14ac:dyDescent="0.4">
      <c r="E10" s="22" t="s">
        <v>230</v>
      </c>
      <c r="F10" t="s">
        <v>146</v>
      </c>
      <c r="H10" s="43">
        <v>11500</v>
      </c>
    </row>
    <row r="11" spans="1:11" x14ac:dyDescent="0.4">
      <c r="E11" s="22" t="s">
        <v>460</v>
      </c>
      <c r="F11" t="s">
        <v>321</v>
      </c>
      <c r="H11" s="42">
        <v>1398860</v>
      </c>
    </row>
    <row r="18" spans="5:8" x14ac:dyDescent="0.4">
      <c r="E18" s="136" t="s">
        <v>263</v>
      </c>
      <c r="F18" s="137"/>
      <c r="G18" s="136"/>
      <c r="H18" s="138">
        <f>SUM(H9:H17)</f>
        <v>1545360</v>
      </c>
    </row>
    <row r="20" spans="5:8" x14ac:dyDescent="0.4">
      <c r="E20" s="139" t="s">
        <v>136</v>
      </c>
      <c r="F20" s="139"/>
      <c r="G20" s="139"/>
      <c r="H20" s="140">
        <f>H4-H18</f>
        <v>4640</v>
      </c>
    </row>
  </sheetData>
  <hyperlinks>
    <hyperlink ref="K1" location="'Project Status'!A1" display="'Project Status'!A1" xr:uid="{F348F888-B7DA-42CA-B30E-EA2EAF1EAB04}"/>
    <hyperlink ref="K2" location="'Project Status'!A1" display="'Project Status'!A1" xr:uid="{348844E9-6A4E-403B-AEF5-C55422D77193}"/>
  </hyperlinks>
  <pageMargins left="0.7" right="0.7" top="0.75" bottom="0.75" header="0.3" footer="0.3"/>
  <pageSetup paperSize="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6.07421875" bestFit="1" customWidth="1"/>
    <col min="5" max="5" width="29.53515625" bestFit="1" customWidth="1"/>
    <col min="6" max="6" width="7" bestFit="1" customWidth="1"/>
    <col min="7" max="7" width="12.3046875" bestFit="1" customWidth="1"/>
    <col min="8" max="8" width="16.53515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20668</v>
      </c>
      <c r="B4" s="11">
        <f>VLOOKUP(A4,'Project Status'!C:D,2,FALSE)</f>
        <v>8151</v>
      </c>
      <c r="C4" s="11" t="str">
        <f>VLOOKUP(A4,'Project Status'!C:E,3,FALSE)</f>
        <v>CP_400163</v>
      </c>
      <c r="D4" s="11" t="str">
        <f>VLOOKUP(A4,'Project Status'!C:F,4,FALSE)</f>
        <v>15000 - Engineering: Office of the Dean</v>
      </c>
      <c r="E4" s="11" t="str">
        <f>VLOOKUP(A4,'Project Status'!C:I,7,FALSE)</f>
        <v>Keck FEL - Mechanical Upgrades</v>
      </c>
      <c r="F4" s="11" t="str">
        <f>VLOOKUP(A4,'Project Status'!C:K,8,FALSE)</f>
        <v>Active</v>
      </c>
      <c r="G4" s="11" t="str">
        <f>VLOOKUP(A4,'Project Status'!C:L,9,FALSE)</f>
        <v>Design</v>
      </c>
      <c r="H4" s="89">
        <f>VLOOKUP(A4,'Project Status'!C:N,11,FALSE)</f>
        <v>0</v>
      </c>
    </row>
    <row r="8" spans="1:11" x14ac:dyDescent="0.4">
      <c r="E8" s="41" t="s">
        <v>124</v>
      </c>
    </row>
    <row r="9" spans="1:11" x14ac:dyDescent="0.4">
      <c r="E9" s="22" t="s">
        <v>214</v>
      </c>
      <c r="F9" s="33" t="s">
        <v>139</v>
      </c>
      <c r="H9" s="42">
        <v>195000</v>
      </c>
    </row>
    <row r="10" spans="1:11" x14ac:dyDescent="0.4">
      <c r="E10" s="22" t="s">
        <v>230</v>
      </c>
      <c r="F10" t="s">
        <v>146</v>
      </c>
      <c r="H10" s="42">
        <v>11500</v>
      </c>
    </row>
    <row r="11" spans="1:11" x14ac:dyDescent="0.4">
      <c r="E11" s="22" t="s">
        <v>333</v>
      </c>
      <c r="F11" t="s">
        <v>321</v>
      </c>
      <c r="H11" s="42">
        <v>24933</v>
      </c>
    </row>
    <row r="12" spans="1:11" x14ac:dyDescent="0.4">
      <c r="H12" s="42"/>
    </row>
    <row r="13" spans="1:11" x14ac:dyDescent="0.4">
      <c r="H13" s="42"/>
    </row>
    <row r="14" spans="1:11" x14ac:dyDescent="0.4">
      <c r="H14" s="42"/>
    </row>
    <row r="15" spans="1:11" x14ac:dyDescent="0.4">
      <c r="H15" s="42"/>
    </row>
    <row r="16" spans="1:11" x14ac:dyDescent="0.4">
      <c r="H16" s="42"/>
    </row>
    <row r="17" spans="5:8" x14ac:dyDescent="0.4">
      <c r="H17" s="42"/>
    </row>
    <row r="18" spans="5:8" x14ac:dyDescent="0.4">
      <c r="E18" s="136" t="s">
        <v>263</v>
      </c>
      <c r="F18" s="137"/>
      <c r="G18" s="136"/>
      <c r="H18" s="138">
        <f>SUM(H9:H17)</f>
        <v>231433</v>
      </c>
    </row>
    <row r="20" spans="5:8" x14ac:dyDescent="0.4">
      <c r="E20" s="139" t="s">
        <v>136</v>
      </c>
      <c r="F20" s="139"/>
      <c r="G20" s="139"/>
      <c r="H20" s="140">
        <f>H4-H18</f>
        <v>-231433</v>
      </c>
    </row>
  </sheetData>
  <hyperlinks>
    <hyperlink ref="K1" location="'Project Status'!A1" display="'Project Status'!A1" xr:uid="{73ABE9C2-583B-4191-9767-E1B32BE198A1}"/>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rgb="FFFFFF93"/>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07421875" bestFit="1" customWidth="1"/>
    <col min="5" max="5" width="34.69140625" bestFit="1" customWidth="1"/>
    <col min="6" max="6" width="7" bestFit="1" customWidth="1"/>
    <col min="7" max="7" width="12.3046875" bestFit="1" customWidth="1"/>
    <col min="8" max="8" width="16.53515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20698</v>
      </c>
      <c r="B4" s="11">
        <f>VLOOKUP(A4,'Project Status'!C:D,2,FALSE)</f>
        <v>1138</v>
      </c>
      <c r="C4" s="11" t="str">
        <f>VLOOKUP(A4,'Project Status'!C:E,3,FALSE)</f>
        <v>CP_400168</v>
      </c>
      <c r="D4" s="11" t="str">
        <f>VLOOKUP(A4,'Project Status'!C:F,4,FALSE)</f>
        <v>12000 - Arts and Science: Office of the Dean</v>
      </c>
      <c r="E4" s="11" t="str">
        <f>VLOOKUP(A4,'Project Status'!C:I,7,FALSE)</f>
        <v>Wilson Hall - Fire Alarm Replacement</v>
      </c>
      <c r="F4" s="11" t="str">
        <f>VLOOKUP(A4,'Project Status'!C:K,8,FALSE)</f>
        <v>Active</v>
      </c>
      <c r="G4" s="11" t="str">
        <f>VLOOKUP(A4,'Project Status'!C:L,9,FALSE)</f>
        <v>Financial Closeout</v>
      </c>
      <c r="H4" s="89">
        <f>VLOOKUP(A4,'Project Status'!C:N,11,FALSE)</f>
        <v>680000</v>
      </c>
    </row>
    <row r="8" spans="1:11" x14ac:dyDescent="0.4">
      <c r="E8" s="41" t="s">
        <v>124</v>
      </c>
    </row>
    <row r="9" spans="1:11" x14ac:dyDescent="0.4">
      <c r="E9" s="22" t="s">
        <v>214</v>
      </c>
      <c r="F9" s="33" t="s">
        <v>139</v>
      </c>
      <c r="H9" s="42">
        <v>24500</v>
      </c>
    </row>
    <row r="10" spans="1:11" x14ac:dyDescent="0.4">
      <c r="E10" s="22" t="s">
        <v>214</v>
      </c>
      <c r="F10" t="s">
        <v>213</v>
      </c>
      <c r="H10" s="42">
        <v>450</v>
      </c>
    </row>
    <row r="11" spans="1:11" x14ac:dyDescent="0.4">
      <c r="E11" s="22" t="s">
        <v>275</v>
      </c>
      <c r="F11" t="s">
        <v>146</v>
      </c>
      <c r="H11" s="42">
        <v>4300</v>
      </c>
    </row>
    <row r="12" spans="1:11" x14ac:dyDescent="0.4">
      <c r="E12" s="22" t="s">
        <v>351</v>
      </c>
      <c r="F12" t="s">
        <v>321</v>
      </c>
      <c r="G12" t="s">
        <v>350</v>
      </c>
      <c r="H12" s="42">
        <v>649263</v>
      </c>
    </row>
    <row r="18" spans="5:8" x14ac:dyDescent="0.4">
      <c r="E18" s="136" t="s">
        <v>263</v>
      </c>
      <c r="F18" s="137"/>
      <c r="G18" s="136"/>
      <c r="H18" s="138">
        <f>SUM(H9:H17)</f>
        <v>678513</v>
      </c>
    </row>
    <row r="20" spans="5:8" x14ac:dyDescent="0.4">
      <c r="E20" s="139" t="s">
        <v>136</v>
      </c>
      <c r="F20" s="139"/>
      <c r="G20" s="139"/>
      <c r="H20" s="140">
        <f>H4-H18</f>
        <v>1487</v>
      </c>
    </row>
  </sheetData>
  <hyperlinks>
    <hyperlink ref="K1" location="'Project Status'!A1" display="'Project Status'!A1" xr:uid="{E7834D54-DAF7-45D2-9A68-536A70719D8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6.69140625" bestFit="1" customWidth="1"/>
    <col min="4" max="4" width="40.07421875" bestFit="1" customWidth="1"/>
    <col min="5" max="5" width="64.3046875" bestFit="1" customWidth="1"/>
    <col min="6" max="6" width="17.53515625" bestFit="1" customWidth="1"/>
    <col min="7" max="7" width="12.3046875" bestFit="1" customWidth="1"/>
    <col min="8" max="8" width="16.53515625" bestFit="1" customWidth="1"/>
    <col min="9" max="9" width="12.0742187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20700</v>
      </c>
      <c r="B4" s="11">
        <f>VLOOKUP(A4,'Project Status'!C:D,2,FALSE)</f>
        <v>851</v>
      </c>
      <c r="C4" s="11">
        <f>VLOOKUP(A4,'Project Status'!C:E,3,FALSE)</f>
        <v>0</v>
      </c>
      <c r="D4" s="11" t="str">
        <f>VLOOKUP(A4,'Project Status'!C:F,4,FALSE)</f>
        <v>12000 - Arts and Science: Office of the Dean</v>
      </c>
      <c r="E4" s="11" t="str">
        <f>VLOOKUP(A4,'Project Status'!C:I,7,FALSE)</f>
        <v>SC-7 Chemistry - SG-1 Removal and Connection to Central Plant Steam</v>
      </c>
      <c r="F4" s="11" t="str">
        <f>VLOOKUP(A4,'Project Status'!C:K,8,FALSE)</f>
        <v>Complete</v>
      </c>
      <c r="G4" s="11" t="str">
        <f>VLOOKUP(A4,'Project Status'!C:L,9,FALSE)</f>
        <v>Finalized</v>
      </c>
      <c r="H4" s="89">
        <f>VLOOKUP(A4,'Project Status'!C:N,11,FALSE)</f>
        <v>80000</v>
      </c>
      <c r="I4" s="173">
        <f>VLOOKUP(B4,'Project Status'!D:O,11,FALSE)</f>
        <v>85577</v>
      </c>
    </row>
    <row r="8" spans="1:11" x14ac:dyDescent="0.4">
      <c r="E8" s="41" t="s">
        <v>124</v>
      </c>
    </row>
    <row r="9" spans="1:11" x14ac:dyDescent="0.4">
      <c r="E9" s="22" t="s">
        <v>225</v>
      </c>
      <c r="F9" s="33" t="s">
        <v>139</v>
      </c>
      <c r="H9" s="98">
        <v>2500</v>
      </c>
    </row>
    <row r="10" spans="1:11" x14ac:dyDescent="0.4">
      <c r="E10" s="22" t="s">
        <v>248</v>
      </c>
      <c r="F10" t="s">
        <v>139</v>
      </c>
      <c r="H10" s="42">
        <v>77123</v>
      </c>
    </row>
    <row r="11" spans="1:11" x14ac:dyDescent="0.4">
      <c r="E11" s="22" t="s">
        <v>322</v>
      </c>
      <c r="F11" t="s">
        <v>174</v>
      </c>
      <c r="H11" s="42">
        <v>5954</v>
      </c>
    </row>
    <row r="18" spans="5:8" x14ac:dyDescent="0.4">
      <c r="E18" s="136" t="s">
        <v>263</v>
      </c>
      <c r="F18" s="137"/>
      <c r="G18" s="136"/>
      <c r="H18" s="138">
        <f>SUM(H9:H17)</f>
        <v>85577</v>
      </c>
    </row>
    <row r="20" spans="5:8" x14ac:dyDescent="0.4">
      <c r="E20" s="139" t="s">
        <v>136</v>
      </c>
      <c r="F20" s="139"/>
      <c r="G20" s="139"/>
      <c r="H20" s="140">
        <f>H4-H18</f>
        <v>-5577</v>
      </c>
    </row>
  </sheetData>
  <hyperlinks>
    <hyperlink ref="K1" location="'Project Status'!A1" display="'Project Status'!A1" xr:uid="{5C3C34A0-1189-4174-89EA-A505915DF0C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pageSetUpPr fitToPage="1"/>
  </sheetPr>
  <dimension ref="A1:I84"/>
  <sheetViews>
    <sheetView tabSelected="1" zoomScaleNormal="100" workbookViewId="0">
      <pane ySplit="5" topLeftCell="A66" activePane="bottomLeft" state="frozen"/>
      <selection activeCell="O1" sqref="O1"/>
      <selection pane="bottomLeft" activeCell="O1" sqref="O1"/>
    </sheetView>
  </sheetViews>
  <sheetFormatPr defaultRowHeight="14.6" x14ac:dyDescent="0.4"/>
  <cols>
    <col min="1" max="1" width="3.3046875" bestFit="1" customWidth="1"/>
    <col min="2" max="2" width="14" customWidth="1"/>
    <col min="3" max="3" width="9.69140625" customWidth="1"/>
    <col min="4" max="4" width="17.07421875" bestFit="1" customWidth="1"/>
    <col min="5" max="5" width="67.3046875" bestFit="1" customWidth="1"/>
    <col min="6" max="9" width="12.69140625" style="42" customWidth="1"/>
  </cols>
  <sheetData>
    <row r="1" spans="1:9" s="8" customFormat="1" x14ac:dyDescent="0.4">
      <c r="B1" s="10" t="s">
        <v>190</v>
      </c>
      <c r="D1" s="10"/>
      <c r="F1" s="62"/>
      <c r="G1" s="62"/>
      <c r="H1" s="62"/>
      <c r="I1" s="62"/>
    </row>
    <row r="2" spans="1:9" s="8" customFormat="1" x14ac:dyDescent="0.4">
      <c r="B2" s="84" t="s">
        <v>112</v>
      </c>
      <c r="C2" s="85">
        <v>45694</v>
      </c>
      <c r="D2" s="33"/>
      <c r="F2" s="62"/>
      <c r="G2" s="62"/>
      <c r="H2" s="62"/>
      <c r="I2" s="62"/>
    </row>
    <row r="4" spans="1:9" ht="16.3" x14ac:dyDescent="0.4">
      <c r="B4" s="10" t="s">
        <v>113</v>
      </c>
      <c r="C4" s="10"/>
      <c r="D4" s="10"/>
      <c r="F4" s="245" t="s">
        <v>170</v>
      </c>
      <c r="G4" s="245" t="s">
        <v>171</v>
      </c>
      <c r="H4" s="245" t="s">
        <v>171</v>
      </c>
      <c r="I4" s="245" t="s">
        <v>171</v>
      </c>
    </row>
    <row r="5" spans="1:9" ht="29.15" x14ac:dyDescent="0.4">
      <c r="B5" s="59" t="s">
        <v>168</v>
      </c>
      <c r="C5" s="60" t="s">
        <v>167</v>
      </c>
      <c r="D5" s="59" t="s">
        <v>86</v>
      </c>
      <c r="E5" s="23" t="s">
        <v>169</v>
      </c>
      <c r="F5" s="114" t="s">
        <v>224</v>
      </c>
      <c r="G5" s="63" t="s">
        <v>326</v>
      </c>
      <c r="H5" s="64" t="s">
        <v>418</v>
      </c>
      <c r="I5" s="251" t="s">
        <v>421</v>
      </c>
    </row>
    <row r="6" spans="1:9" x14ac:dyDescent="0.4">
      <c r="A6" s="96">
        <v>1</v>
      </c>
      <c r="B6" t="str">
        <f>VLOOKUP(C6,'Project Status'!C:K,8,FALSE)</f>
        <v>Complete</v>
      </c>
      <c r="C6" s="55">
        <v>10085</v>
      </c>
      <c r="D6" s="26" t="str">
        <f>VLOOKUP(C6,'Project Status'!C:G,5,FALSE)</f>
        <v>Peabody</v>
      </c>
      <c r="E6" t="str">
        <f>VLOOKUP(C6,'Project Status'!C:I,7,FALSE)</f>
        <v>One Magnolia Circle - Modify/Upgrade Electrical and Grounding</v>
      </c>
      <c r="F6" s="115">
        <f>VLOOKUP(C6,'Project Status'!C:M,11,FALSE)</f>
        <v>17500</v>
      </c>
      <c r="G6" s="247">
        <f>VLOOKUP(C6,'Project Status'!C:S,17,FALSE)</f>
        <v>17500</v>
      </c>
      <c r="H6" s="246">
        <f>VLOOKUP(C6,'Project Status'!C:T,18,FALSE)</f>
        <v>0</v>
      </c>
      <c r="I6" s="253">
        <f>VLOOKUP(C6,'Project Status'!C:W,21,FALSE)</f>
        <v>0</v>
      </c>
    </row>
    <row r="7" spans="1:9" x14ac:dyDescent="0.4">
      <c r="A7" s="96">
        <f>A6+1</f>
        <v>2</v>
      </c>
      <c r="B7" t="str">
        <f>VLOOKUP(C7,'Project Status'!C:K,8,FALSE)</f>
        <v>Complete</v>
      </c>
      <c r="C7" s="55">
        <v>10098</v>
      </c>
      <c r="D7" s="26" t="str">
        <f>VLOOKUP(C7,'Project Status'!C:G,5,FALSE)</f>
        <v>SOM Basic Sciences</v>
      </c>
      <c r="E7" t="str">
        <f>VLOOKUP(C7,'Project Status'!C:I,7,FALSE)</f>
        <v>MRB III - 4th Floor - Replace Controls (Phase 2)</v>
      </c>
      <c r="F7" s="248">
        <f>VLOOKUP(C7,'Project Status'!C:M,11,FALSE)</f>
        <v>1216485.5</v>
      </c>
      <c r="G7" s="249">
        <f>VLOOKUP(C7,'Project Status'!C:S,17,FALSE)</f>
        <v>1216485.5</v>
      </c>
      <c r="H7" s="250">
        <f>VLOOKUP(C7,'Project Status'!C:T,18,FALSE)</f>
        <v>-4400.96</v>
      </c>
      <c r="I7" s="254">
        <f>VLOOKUP(C7,'Project Status'!C:W,21,FALSE)</f>
        <v>0</v>
      </c>
    </row>
    <row r="8" spans="1:9" x14ac:dyDescent="0.4">
      <c r="A8" s="96">
        <f t="shared" ref="A8:A71" si="0">A7+1</f>
        <v>3</v>
      </c>
      <c r="B8" t="str">
        <f>VLOOKUP(C8,'Project Status'!C:K,8,FALSE)</f>
        <v>Active</v>
      </c>
      <c r="C8" s="55">
        <v>10146</v>
      </c>
      <c r="D8" s="26" t="str">
        <f>VLOOKUP(C8,'Project Status'!C:G,5,FALSE)</f>
        <v>Nursing</v>
      </c>
      <c r="E8" t="str">
        <f>VLOOKUP(C8,'Project Status'!C:I,7,FALSE)</f>
        <v>Godchaux Hall - HVAC Upgrade</v>
      </c>
      <c r="F8" s="248">
        <f>VLOOKUP(C8,'Project Status'!C:M,11,FALSE)</f>
        <v>318000</v>
      </c>
      <c r="G8" s="249">
        <f>VLOOKUP(C8,'Project Status'!C:S,17,FALSE)</f>
        <v>4900</v>
      </c>
      <c r="H8" s="250">
        <f>VLOOKUP(C8,'Project Status'!C:T,18,FALSE)</f>
        <v>255957</v>
      </c>
      <c r="I8" s="254">
        <f>VLOOKUP(C8,'Project Status'!C:W,21,FALSE)</f>
        <v>0</v>
      </c>
    </row>
    <row r="9" spans="1:9" x14ac:dyDescent="0.4">
      <c r="A9" s="96">
        <f t="shared" si="0"/>
        <v>4</v>
      </c>
      <c r="B9" t="str">
        <f>VLOOKUP(C9,'Project Status'!C:K,8,FALSE)</f>
        <v>Complete</v>
      </c>
      <c r="C9" s="55">
        <v>20179</v>
      </c>
      <c r="D9" s="26" t="str">
        <f>VLOOKUP(C9,'Project Status'!C:G,5,FALSE)</f>
        <v>Law</v>
      </c>
      <c r="E9" t="str">
        <f>VLOOKUP(C9,'Project Status'!C:I,7,FALSE)</f>
        <v>Law School - Fire Alarm System Replacement</v>
      </c>
      <c r="F9" s="248">
        <f>VLOOKUP(C9,'Project Status'!C:M,11,FALSE)</f>
        <v>1445389</v>
      </c>
      <c r="G9" s="249">
        <f>VLOOKUP(C9,'Project Status'!C:S,17,FALSE)</f>
        <v>722694.5</v>
      </c>
      <c r="H9" s="250">
        <f>VLOOKUP(C9,'Project Status'!C:T,18,FALSE)</f>
        <v>0</v>
      </c>
      <c r="I9" s="254">
        <f>VLOOKUP(C9,'Project Status'!C:W,21,FALSE)</f>
        <v>-92965.86</v>
      </c>
    </row>
    <row r="10" spans="1:9" x14ac:dyDescent="0.4">
      <c r="A10" s="96">
        <f t="shared" si="0"/>
        <v>5</v>
      </c>
      <c r="B10" t="str">
        <f>VLOOKUP(C10,'Project Status'!C:K,8,FALSE)</f>
        <v>Complete</v>
      </c>
      <c r="C10" s="55">
        <v>20336</v>
      </c>
      <c r="D10" s="26" t="str">
        <f>VLOOKUP(C10,'Project Status'!C:G,5,FALSE)</f>
        <v>Blair</v>
      </c>
      <c r="E10" t="str">
        <f>VLOOKUP(C10,'Project Status'!C:I,7,FALSE)</f>
        <v>Blair School of Music - Elevator #3 Modernization</v>
      </c>
      <c r="F10" s="248">
        <f>VLOOKUP(C10,'Project Status'!C:M,11,FALSE)</f>
        <v>327890</v>
      </c>
      <c r="G10" s="249">
        <f>VLOOKUP(C10,'Project Status'!C:S,17,FALSE)</f>
        <v>327890</v>
      </c>
      <c r="H10" s="250">
        <f>VLOOKUP(C10,'Project Status'!C:T,18,FALSE)</f>
        <v>-47290</v>
      </c>
      <c r="I10" s="254">
        <f>VLOOKUP(C10,'Project Status'!C:W,21,FALSE)</f>
        <v>0</v>
      </c>
    </row>
    <row r="11" spans="1:9" x14ac:dyDescent="0.4">
      <c r="A11" s="96">
        <f t="shared" si="0"/>
        <v>6</v>
      </c>
      <c r="B11" t="str">
        <f>VLOOKUP(C11,'Project Status'!C:K,8,FALSE)</f>
        <v>Active</v>
      </c>
      <c r="C11" s="55">
        <v>20431</v>
      </c>
      <c r="D11" s="26" t="str">
        <f>VLOOKUP(C11,'Project Status'!C:G,5,FALSE)</f>
        <v>Divinity</v>
      </c>
      <c r="E11" t="str">
        <f>VLOOKUP(C11,'Project Status'!C:I,7,FALSE)</f>
        <v>Divinity Air Handling Unit Replacement, (5/6)- Phase 1</v>
      </c>
      <c r="F11" s="248">
        <f>VLOOKUP(C11,'Project Status'!C:M,11,FALSE)</f>
        <v>3800000</v>
      </c>
      <c r="G11" s="249">
        <f>VLOOKUP(C11,'Project Status'!C:S,17,FALSE)</f>
        <v>69862.5</v>
      </c>
      <c r="H11" s="250">
        <f>VLOOKUP(C11,'Project Status'!C:T,18,FALSE)</f>
        <v>3660360</v>
      </c>
      <c r="I11" s="254">
        <f>VLOOKUP(C11,'Project Status'!C:W,21,FALSE)</f>
        <v>0</v>
      </c>
    </row>
    <row r="12" spans="1:9" x14ac:dyDescent="0.4">
      <c r="A12" s="96">
        <f t="shared" si="0"/>
        <v>7</v>
      </c>
      <c r="B12" t="str">
        <f>VLOOKUP(C12,'Project Status'!C:K,8,FALSE)</f>
        <v>Active</v>
      </c>
      <c r="C12" s="55">
        <v>20478</v>
      </c>
      <c r="D12" s="26" t="str">
        <f>VLOOKUP(C12,'Project Status'!C:G,5,FALSE)</f>
        <v>Arts &amp; Science</v>
      </c>
      <c r="E12" t="str">
        <f>VLOOKUP(C12,'Project Status'!C:I,7,FALSE)</f>
        <v>Bryan Building - Swing Space Renovation - A&amp;S Planning</v>
      </c>
      <c r="F12" s="248">
        <f>VLOOKUP(C12,'Project Status'!C:M,11,FALSE)</f>
        <v>2790000</v>
      </c>
      <c r="G12" s="249">
        <f>VLOOKUP(C12,'Project Status'!C:S,17,FALSE)</f>
        <v>81100</v>
      </c>
      <c r="H12" s="250">
        <f>VLOOKUP(C12,'Project Status'!C:T,18,FALSE)</f>
        <v>1028900</v>
      </c>
      <c r="I12" s="254">
        <f>VLOOKUP(C12,'Project Status'!C:W,21,FALSE)</f>
        <v>0</v>
      </c>
    </row>
    <row r="13" spans="1:9" x14ac:dyDescent="0.4">
      <c r="A13" s="96">
        <f t="shared" si="0"/>
        <v>8</v>
      </c>
      <c r="B13" t="str">
        <f>VLOOKUP(C13,'Project Status'!C:K,8,FALSE)</f>
        <v>Active</v>
      </c>
      <c r="C13" s="55">
        <v>20489</v>
      </c>
      <c r="D13" s="26" t="str">
        <f>VLOOKUP(C13,'Project Status'!C:G,5,FALSE)</f>
        <v>Divinity</v>
      </c>
      <c r="E13" t="str">
        <f>VLOOKUP(C13,'Project Status'!C:I,7,FALSE)</f>
        <v>Divinity Air Handling Unit Replacement,(1/3) - Phase 2 with Benton - FY26</v>
      </c>
      <c r="F13" s="248">
        <f>VLOOKUP(C13,'Project Status'!C:M,11,FALSE)</f>
        <v>4750000</v>
      </c>
      <c r="G13" s="249">
        <f>VLOOKUP(C13,'Project Status'!C:S,17,FALSE)</f>
        <v>26500</v>
      </c>
      <c r="H13" s="250">
        <f>VLOOKUP(C13,'Project Status'!C:T,18,FALSE)</f>
        <v>0</v>
      </c>
      <c r="I13" s="254">
        <f>VLOOKUP(C13,'Project Status'!C:W,21,FALSE)</f>
        <v>0</v>
      </c>
    </row>
    <row r="14" spans="1:9" x14ac:dyDescent="0.4">
      <c r="A14" s="96">
        <f t="shared" si="0"/>
        <v>9</v>
      </c>
      <c r="B14" t="str">
        <f>VLOOKUP(C14,'Project Status'!C:K,8,FALSE)</f>
        <v>Complete</v>
      </c>
      <c r="C14" s="55">
        <v>20497</v>
      </c>
      <c r="D14" s="26" t="str">
        <f>VLOOKUP(C14,'Project Status'!C:G,5,FALSE)</f>
        <v>Peabody</v>
      </c>
      <c r="E14" t="str">
        <f>VLOOKUP(C14,'Project Status'!C:I,7,FALSE)</f>
        <v>Jesup - Roof Replacement</v>
      </c>
      <c r="F14" s="248">
        <f>VLOOKUP(C14,'Project Status'!C:M,11,FALSE)</f>
        <v>456850</v>
      </c>
      <c r="G14" s="249">
        <f>VLOOKUP(C14,'Project Status'!C:S,17,FALSE)</f>
        <v>79415.5</v>
      </c>
      <c r="H14" s="250">
        <f>VLOOKUP(C14,'Project Status'!C:T,18,FALSE)</f>
        <v>-44850</v>
      </c>
      <c r="I14" s="254">
        <f>VLOOKUP(C14,'Project Status'!C:W,21,FALSE)</f>
        <v>0</v>
      </c>
    </row>
    <row r="15" spans="1:9" x14ac:dyDescent="0.4">
      <c r="A15" s="96">
        <f t="shared" si="0"/>
        <v>10</v>
      </c>
      <c r="B15" t="str">
        <f>VLOOKUP(C15,'Project Status'!C:K,8,FALSE)</f>
        <v>Complete</v>
      </c>
      <c r="C15" s="55">
        <v>20506</v>
      </c>
      <c r="D15" s="26" t="str">
        <f>VLOOKUP(C15,'Project Status'!C:G,5,FALSE)</f>
        <v>Peabody</v>
      </c>
      <c r="E15" t="str">
        <f>VLOOKUP(C15,'Project Status'!C:I,7,FALSE)</f>
        <v>Wyatt Center - Window Replacement</v>
      </c>
      <c r="F15" s="248">
        <f>VLOOKUP(C15,'Project Status'!C:M,11,FALSE)</f>
        <v>344155.26</v>
      </c>
      <c r="G15" s="249">
        <f>VLOOKUP(C15,'Project Status'!C:S,17,FALSE)</f>
        <v>344155.26</v>
      </c>
      <c r="H15" s="250">
        <f>VLOOKUP(C15,'Project Status'!C:T,18,FALSE)</f>
        <v>-36379</v>
      </c>
      <c r="I15" s="254">
        <f>VLOOKUP(C15,'Project Status'!C:W,21,FALSE)</f>
        <v>0</v>
      </c>
    </row>
    <row r="16" spans="1:9" x14ac:dyDescent="0.4">
      <c r="A16" s="96">
        <f t="shared" si="0"/>
        <v>11</v>
      </c>
      <c r="B16" t="str">
        <f>VLOOKUP(C16,'Project Status'!C:K,8,FALSE)</f>
        <v>Complete</v>
      </c>
      <c r="C16" s="55">
        <v>20562</v>
      </c>
      <c r="D16" s="26" t="str">
        <f>VLOOKUP(C16,'Project Status'!C:G,5,FALSE)</f>
        <v>Peabody</v>
      </c>
      <c r="E16" t="str">
        <f>VLOOKUP(C16,'Project Status'!C:I,7,FALSE)</f>
        <v>Wyatt Center - VAV Replacement</v>
      </c>
      <c r="F16" s="248">
        <f>VLOOKUP(C16,'Project Status'!C:M,11,FALSE)</f>
        <v>400000</v>
      </c>
      <c r="G16" s="249">
        <f>VLOOKUP(C16,'Project Status'!C:S,17,FALSE)</f>
        <v>405791</v>
      </c>
      <c r="H16" s="250">
        <f>VLOOKUP(C16,'Project Status'!C:T,18,FALSE)</f>
        <v>-43231.360000000001</v>
      </c>
      <c r="I16" s="254">
        <f>VLOOKUP(C16,'Project Status'!C:W,21,FALSE)</f>
        <v>0</v>
      </c>
    </row>
    <row r="17" spans="1:9" x14ac:dyDescent="0.4">
      <c r="A17" s="96">
        <f t="shared" si="0"/>
        <v>12</v>
      </c>
      <c r="B17" t="str">
        <f>VLOOKUP(C17,'Project Status'!C:K,8,FALSE)</f>
        <v>Deferred / On Hold</v>
      </c>
      <c r="C17" s="55">
        <v>20563</v>
      </c>
      <c r="D17" s="26" t="str">
        <f>VLOOKUP(C17,'Project Status'!C:G,5,FALSE)</f>
        <v>Engineering</v>
      </c>
      <c r="E17" t="str">
        <f>VLOOKUP(C17,'Project Status'!C:I,7,FALSE)</f>
        <v>Keck FEL - Roof Replacement</v>
      </c>
      <c r="F17" s="248">
        <f>VLOOKUP(C17,'Project Status'!C:M,11,FALSE)</f>
        <v>386000</v>
      </c>
      <c r="G17" s="249">
        <f>VLOOKUP(C17,'Project Status'!C:S,17,FALSE)</f>
        <v>0</v>
      </c>
      <c r="H17" s="250">
        <f>VLOOKUP(C17,'Project Status'!C:T,18,FALSE)</f>
        <v>0</v>
      </c>
      <c r="I17" s="254">
        <f>VLOOKUP(C17,'Project Status'!C:W,21,FALSE)</f>
        <v>0</v>
      </c>
    </row>
    <row r="18" spans="1:9" x14ac:dyDescent="0.4">
      <c r="A18" s="96">
        <f t="shared" si="0"/>
        <v>13</v>
      </c>
      <c r="B18" t="str">
        <f>VLOOKUP(C18,'Project Status'!C:K,8,FALSE)</f>
        <v>Complete</v>
      </c>
      <c r="C18" s="55">
        <v>20566</v>
      </c>
      <c r="D18" s="26" t="str">
        <f>VLOOKUP(C18,'Project Status'!C:G,5,FALSE)</f>
        <v>Arts &amp; Science</v>
      </c>
      <c r="E18" t="str">
        <f>VLOOKUP(C18,'Project Status'!C:I,7,FALSE)</f>
        <v>SC Chemistry (SC7) - Elevator 1 &amp; 2 Modernization</v>
      </c>
      <c r="F18" s="248">
        <f>VLOOKUP(C18,'Project Status'!C:M,11,FALSE)</f>
        <v>781870</v>
      </c>
      <c r="G18" s="249">
        <f>VLOOKUP(C18,'Project Status'!C:S,17,FALSE)</f>
        <v>781870</v>
      </c>
      <c r="H18" s="250">
        <f>VLOOKUP(C18,'Project Status'!C:T,18,FALSE)</f>
        <v>-59283.32</v>
      </c>
      <c r="I18" s="254">
        <f>VLOOKUP(C18,'Project Status'!C:W,21,FALSE)</f>
        <v>0</v>
      </c>
    </row>
    <row r="19" spans="1:9" x14ac:dyDescent="0.4">
      <c r="A19" s="96">
        <f t="shared" si="0"/>
        <v>14</v>
      </c>
      <c r="B19" t="str">
        <f>VLOOKUP(C19,'Project Status'!C:K,8,FALSE)</f>
        <v>Complete</v>
      </c>
      <c r="C19" s="55">
        <v>20573</v>
      </c>
      <c r="D19" s="26" t="str">
        <f>VLOOKUP(C19,'Project Status'!C:G,5,FALSE)</f>
        <v>Peabody</v>
      </c>
      <c r="E19" t="str">
        <f>VLOOKUP(C19,'Project Status'!C:I,7,FALSE)</f>
        <v>Wyatt Center - Roof Replacement</v>
      </c>
      <c r="F19" s="248">
        <f>VLOOKUP(C19,'Project Status'!C:M,11,FALSE)</f>
        <v>1232681</v>
      </c>
      <c r="G19" s="249">
        <f>VLOOKUP(C19,'Project Status'!C:S,17,FALSE)</f>
        <v>1232681</v>
      </c>
      <c r="H19" s="250">
        <f>VLOOKUP(C19,'Project Status'!C:T,18,FALSE)</f>
        <v>-119221</v>
      </c>
      <c r="I19" s="254">
        <f>VLOOKUP(C19,'Project Status'!C:W,21,FALSE)</f>
        <v>0</v>
      </c>
    </row>
    <row r="20" spans="1:9" x14ac:dyDescent="0.4">
      <c r="A20" s="96">
        <f t="shared" si="0"/>
        <v>15</v>
      </c>
      <c r="B20" t="str">
        <f>VLOOKUP(C20,'Project Status'!C:K,8,FALSE)</f>
        <v>Complete</v>
      </c>
      <c r="C20" s="55">
        <v>20574</v>
      </c>
      <c r="D20" s="26" t="str">
        <f>VLOOKUP(C20,'Project Status'!C:G,5,FALSE)</f>
        <v>SOM Basic Sciences</v>
      </c>
      <c r="E20" t="str">
        <f>VLOOKUP(C20,'Project Status'!C:I,7,FALSE)</f>
        <v>MRB III - Steam Coil Replacement</v>
      </c>
      <c r="F20" s="248">
        <f>VLOOKUP(C20,'Project Status'!C:M,11,FALSE)</f>
        <v>218202</v>
      </c>
      <c r="G20" s="249">
        <f>VLOOKUP(C20,'Project Status'!C:S,17,FALSE)</f>
        <v>218202</v>
      </c>
      <c r="H20" s="250">
        <f>VLOOKUP(C20,'Project Status'!C:T,18,FALSE)</f>
        <v>-22537</v>
      </c>
      <c r="I20" s="254">
        <f>VLOOKUP(C20,'Project Status'!C:W,21,FALSE)</f>
        <v>0</v>
      </c>
    </row>
    <row r="21" spans="1:9" x14ac:dyDescent="0.4">
      <c r="A21" s="96">
        <f t="shared" si="0"/>
        <v>16</v>
      </c>
      <c r="B21" t="str">
        <f>VLOOKUP(C21,'Project Status'!C:K,8,FALSE)</f>
        <v>Active</v>
      </c>
      <c r="C21" s="55">
        <v>20577</v>
      </c>
      <c r="D21" s="26" t="str">
        <f>VLOOKUP(C21,'Project Status'!C:G,5,FALSE)</f>
        <v>Blair</v>
      </c>
      <c r="E21" t="str">
        <f>VLOOKUP(C21,'Project Status'!C:I,7,FALSE)</f>
        <v>Blair School of Music - AHU - 1 Replacement - Phase 1 - FY25</v>
      </c>
      <c r="F21" s="248">
        <f>VLOOKUP(C21,'Project Status'!C:M,11,FALSE)</f>
        <v>1300000</v>
      </c>
      <c r="G21" s="249">
        <f>VLOOKUP(C21,'Project Status'!C:S,17,FALSE)</f>
        <v>223000</v>
      </c>
      <c r="H21" s="250">
        <f>VLOOKUP(C21,'Project Status'!C:T,18,FALSE)</f>
        <v>0</v>
      </c>
      <c r="I21" s="254">
        <f>VLOOKUP(C21,'Project Status'!C:W,21,FALSE)</f>
        <v>1077000</v>
      </c>
    </row>
    <row r="22" spans="1:9" x14ac:dyDescent="0.4">
      <c r="A22" s="96">
        <f t="shared" si="0"/>
        <v>17</v>
      </c>
      <c r="B22" t="str">
        <f>VLOOKUP(C22,'Project Status'!C:K,8,FALSE)</f>
        <v>Complete</v>
      </c>
      <c r="C22" s="55">
        <v>20644</v>
      </c>
      <c r="D22" s="26" t="str">
        <f>VLOOKUP(C22,'Project Status'!C:G,5,FALSE)</f>
        <v>Peabody</v>
      </c>
      <c r="E22" t="str">
        <f>VLOOKUP(C22,'Project Status'!C:I,7,FALSE)</f>
        <v>Peabody Administration - Envelope Repairs</v>
      </c>
      <c r="F22" s="248">
        <f>VLOOKUP(C22,'Project Status'!C:M,11,FALSE)</f>
        <v>630554</v>
      </c>
      <c r="G22" s="249">
        <f>VLOOKUP(C22,'Project Status'!C:S,17,FALSE)</f>
        <v>630554</v>
      </c>
      <c r="H22" s="250">
        <f>VLOOKUP(C22,'Project Status'!C:T,18,FALSE)</f>
        <v>-58765</v>
      </c>
      <c r="I22" s="254">
        <f>VLOOKUP(C22,'Project Status'!C:W,21,FALSE)</f>
        <v>0</v>
      </c>
    </row>
    <row r="23" spans="1:9" x14ac:dyDescent="0.4">
      <c r="A23" s="96">
        <f t="shared" si="0"/>
        <v>18</v>
      </c>
      <c r="B23" t="str">
        <f>VLOOKUP(C23,'Project Status'!C:K,8,FALSE)</f>
        <v>Complete</v>
      </c>
      <c r="C23" s="55">
        <v>20645</v>
      </c>
      <c r="D23" s="26" t="str">
        <f>VLOOKUP(C23,'Project Status'!C:G,5,FALSE)</f>
        <v>Arts &amp; Science</v>
      </c>
      <c r="E23" t="str">
        <f>VLOOKUP(C23,'Project Status'!C:I,7,FALSE)</f>
        <v>Benson Old Central - Replace Soffit and Doors</v>
      </c>
      <c r="F23" s="248">
        <f>VLOOKUP(C23,'Project Status'!C:M,11,FALSE)</f>
        <v>125875</v>
      </c>
      <c r="G23" s="249">
        <f>VLOOKUP(C23,'Project Status'!C:S,17,FALSE)</f>
        <v>125875</v>
      </c>
      <c r="H23" s="250">
        <f>VLOOKUP(C23,'Project Status'!C:T,18,FALSE)</f>
        <v>-11525</v>
      </c>
      <c r="I23" s="254">
        <f>VLOOKUP(C23,'Project Status'!C:W,21,FALSE)</f>
        <v>0</v>
      </c>
    </row>
    <row r="24" spans="1:9" x14ac:dyDescent="0.4">
      <c r="A24" s="96">
        <f t="shared" si="0"/>
        <v>19</v>
      </c>
      <c r="B24" t="str">
        <f>VLOOKUP(C24,'Project Status'!C:K,8,FALSE)</f>
        <v>Active</v>
      </c>
      <c r="C24" s="55">
        <v>20667</v>
      </c>
      <c r="D24" s="26" t="str">
        <f>VLOOKUP(C24,'Project Status'!C:G,5,FALSE)</f>
        <v>Engineering</v>
      </c>
      <c r="E24" t="str">
        <f>VLOOKUP(C24,'Project Status'!C:I,7,FALSE)</f>
        <v>1025 16th Avenue - Mechanical and Electrical Upgrades</v>
      </c>
      <c r="F24" s="248">
        <f>VLOOKUP(C24,'Project Status'!C:M,11,FALSE)</f>
        <v>1550000</v>
      </c>
      <c r="G24" s="249">
        <f>VLOOKUP(C24,'Project Status'!C:S,17,FALSE)</f>
        <v>146500</v>
      </c>
      <c r="H24" s="250">
        <f>VLOOKUP(C24,'Project Status'!C:T,18,FALSE)</f>
        <v>0</v>
      </c>
      <c r="I24" s="254">
        <f>VLOOKUP(C24,'Project Status'!C:W,21,FALSE)</f>
        <v>1398860</v>
      </c>
    </row>
    <row r="25" spans="1:9" x14ac:dyDescent="0.4">
      <c r="A25" s="96">
        <f t="shared" si="0"/>
        <v>20</v>
      </c>
      <c r="B25" t="str">
        <f>VLOOKUP(C25,'Project Status'!C:K,8,FALSE)</f>
        <v>Active</v>
      </c>
      <c r="C25" s="55">
        <v>20668</v>
      </c>
      <c r="D25" s="26" t="str">
        <f>VLOOKUP(C25,'Project Status'!C:G,5,FALSE)</f>
        <v>Engineering</v>
      </c>
      <c r="E25" t="str">
        <f>VLOOKUP(C25,'Project Status'!C:I,7,FALSE)</f>
        <v>Keck FEL - Mechanical Upgrades</v>
      </c>
      <c r="F25" s="248">
        <f>VLOOKUP(C25,'Project Status'!C:M,11,FALSE)</f>
        <v>0</v>
      </c>
      <c r="G25" s="249">
        <f>VLOOKUP(C25,'Project Status'!C:S,17,FALSE)</f>
        <v>206500</v>
      </c>
      <c r="H25" s="250">
        <f>VLOOKUP(C25,'Project Status'!C:T,18,FALSE)</f>
        <v>24933</v>
      </c>
      <c r="I25" s="254">
        <f>VLOOKUP(C25,'Project Status'!C:W,21,FALSE)</f>
        <v>0</v>
      </c>
    </row>
    <row r="26" spans="1:9" x14ac:dyDescent="0.4">
      <c r="A26" s="96">
        <f t="shared" si="0"/>
        <v>21</v>
      </c>
      <c r="B26" t="str">
        <f>VLOOKUP(C26,'Project Status'!C:K,8,FALSE)</f>
        <v>Active</v>
      </c>
      <c r="C26" s="55">
        <v>20698</v>
      </c>
      <c r="D26" s="26" t="str">
        <f>VLOOKUP(C26,'Project Status'!C:G,5,FALSE)</f>
        <v>Arts &amp; Science</v>
      </c>
      <c r="E26" t="str">
        <f>VLOOKUP(C26,'Project Status'!C:I,7,FALSE)</f>
        <v>Wilson Hall - Fire Alarm Replacement</v>
      </c>
      <c r="F26" s="248">
        <f>VLOOKUP(C26,'Project Status'!C:M,11,FALSE)</f>
        <v>680000</v>
      </c>
      <c r="G26" s="249">
        <f>VLOOKUP(C26,'Project Status'!C:S,17,FALSE)</f>
        <v>29250</v>
      </c>
      <c r="H26" s="250">
        <f>VLOOKUP(C26,'Project Status'!C:T,18,FALSE)</f>
        <v>649263</v>
      </c>
      <c r="I26" s="254">
        <f>VLOOKUP(C26,'Project Status'!C:W,21,FALSE)</f>
        <v>0</v>
      </c>
    </row>
    <row r="27" spans="1:9" x14ac:dyDescent="0.4">
      <c r="A27" s="96">
        <f t="shared" si="0"/>
        <v>22</v>
      </c>
      <c r="B27" t="str">
        <f>VLOOKUP(C27,'Project Status'!C:K,8,FALSE)</f>
        <v>Complete</v>
      </c>
      <c r="C27" s="55">
        <v>20700</v>
      </c>
      <c r="D27" s="26" t="str">
        <f>VLOOKUP(C27,'Project Status'!C:G,5,FALSE)</f>
        <v>Arts &amp; Science</v>
      </c>
      <c r="E27" t="str">
        <f>VLOOKUP(C27,'Project Status'!C:I,7,FALSE)</f>
        <v>SC-7 Chemistry - SG-1 Removal and Connection to Central Plant Steam</v>
      </c>
      <c r="F27" s="248">
        <f>VLOOKUP(C27,'Project Status'!C:M,11,FALSE)</f>
        <v>80000</v>
      </c>
      <c r="G27" s="249">
        <f>VLOOKUP(C27,'Project Status'!C:S,17,FALSE)</f>
        <v>79623</v>
      </c>
      <c r="H27" s="250">
        <f>VLOOKUP(C27,'Project Status'!C:T,18,FALSE)</f>
        <v>5954</v>
      </c>
      <c r="I27" s="254">
        <f>VLOOKUP(C27,'Project Status'!C:W,21,FALSE)</f>
        <v>0</v>
      </c>
    </row>
    <row r="28" spans="1:9" x14ac:dyDescent="0.4">
      <c r="A28" s="96">
        <f t="shared" si="0"/>
        <v>23</v>
      </c>
      <c r="B28" t="str">
        <f>VLOOKUP(C28,'Project Status'!C:K,8,FALSE)</f>
        <v>Active</v>
      </c>
      <c r="C28" s="55">
        <v>20701</v>
      </c>
      <c r="D28" s="26" t="str">
        <f>VLOOKUP(C28,'Project Status'!C:G,5,FALSE)</f>
        <v>Arts &amp; Science</v>
      </c>
      <c r="E28" t="str">
        <f>VLOOKUP(C28,'Project Status'!C:I,7,FALSE)</f>
        <v>SC-5 - Chemical Discharge Replacement</v>
      </c>
      <c r="F28" s="248">
        <f>VLOOKUP(C28,'Project Status'!C:M,11,FALSE)</f>
        <v>500000</v>
      </c>
      <c r="G28" s="249">
        <f>VLOOKUP(C28,'Project Status'!C:S,17,FALSE)</f>
        <v>499093</v>
      </c>
      <c r="H28" s="250">
        <f>VLOOKUP(C28,'Project Status'!C:T,18,FALSE)</f>
        <v>0</v>
      </c>
      <c r="I28" s="254">
        <f>VLOOKUP(C28,'Project Status'!C:W,21,FALSE)</f>
        <v>0</v>
      </c>
    </row>
    <row r="29" spans="1:9" x14ac:dyDescent="0.4">
      <c r="A29" s="96">
        <f t="shared" si="0"/>
        <v>24</v>
      </c>
      <c r="B29" t="str">
        <f>VLOOKUP(C29,'Project Status'!C:K,8,FALSE)</f>
        <v>Complete</v>
      </c>
      <c r="C29" s="55">
        <v>20702</v>
      </c>
      <c r="D29" s="26" t="str">
        <f>VLOOKUP(C29,'Project Status'!C:G,5,FALSE)</f>
        <v>Peabody</v>
      </c>
      <c r="E29" t="str">
        <f>VLOOKUP(C29,'Project Status'!C:I,7,FALSE)</f>
        <v>Wyatt Center - Elevator #2 Modernization</v>
      </c>
      <c r="F29" s="248">
        <f>VLOOKUP(C29,'Project Status'!C:M,11,FALSE)</f>
        <v>225791</v>
      </c>
      <c r="G29" s="249">
        <f>VLOOKUP(C29,'Project Status'!C:S,17,FALSE)</f>
        <v>239341</v>
      </c>
      <c r="H29" s="250">
        <f>VLOOKUP(C29,'Project Status'!C:T,18,FALSE)</f>
        <v>-29922</v>
      </c>
      <c r="I29" s="254">
        <f>VLOOKUP(C29,'Project Status'!C:W,21,FALSE)</f>
        <v>0</v>
      </c>
    </row>
    <row r="30" spans="1:9" x14ac:dyDescent="0.4">
      <c r="A30" s="96">
        <f t="shared" si="0"/>
        <v>25</v>
      </c>
      <c r="B30" t="str">
        <f>VLOOKUP(C30,'Project Status'!C:K,8,FALSE)</f>
        <v>Complete</v>
      </c>
      <c r="C30" s="55">
        <v>20718</v>
      </c>
      <c r="D30" s="26" t="str">
        <f>VLOOKUP(C30,'Project Status'!C:G,5,FALSE)</f>
        <v>Arts &amp; Science</v>
      </c>
      <c r="E30" t="str">
        <f>VLOOKUP(C30,'Project Status'!C:I,7,FALSE)</f>
        <v>Buttrick Hall - 3rd Floor Inequality Renovations</v>
      </c>
      <c r="F30" s="248">
        <f>VLOOKUP(C30,'Project Status'!C:M,11,FALSE)</f>
        <v>715000</v>
      </c>
      <c r="G30" s="249">
        <f>VLOOKUP(C30,'Project Status'!C:S,17,FALSE)</f>
        <v>96166</v>
      </c>
      <c r="H30" s="250">
        <f>VLOOKUP(C30,'Project Status'!C:T,18,FALSE)</f>
        <v>0</v>
      </c>
      <c r="I30" s="254">
        <f>VLOOKUP(C30,'Project Status'!C:W,21,FALSE)</f>
        <v>0</v>
      </c>
    </row>
    <row r="31" spans="1:9" x14ac:dyDescent="0.4">
      <c r="A31" s="96">
        <f t="shared" si="0"/>
        <v>26</v>
      </c>
      <c r="B31" t="str">
        <f>VLOOKUP(C31,'Project Status'!C:K,8,FALSE)</f>
        <v>Active</v>
      </c>
      <c r="C31" s="55">
        <v>20723</v>
      </c>
      <c r="D31" s="26" t="str">
        <f>VLOOKUP(C31,'Project Status'!C:G,5,FALSE)</f>
        <v>SOM Basic Sciences</v>
      </c>
      <c r="E31" t="str">
        <f>VLOOKUP(C31,'Project Status'!C:I,7,FALSE)</f>
        <v>MRB III - 9th Floor (with 4 ,5 &amp; 8) - Replace Controls (Phase 3)</v>
      </c>
      <c r="F31" s="248">
        <f>VLOOKUP(C31,'Project Status'!C:M,11,FALSE)</f>
        <v>1610000</v>
      </c>
      <c r="G31" s="249">
        <f>VLOOKUP(C31,'Project Status'!C:S,17,FALSE)</f>
        <v>160500</v>
      </c>
      <c r="H31" s="250">
        <f>VLOOKUP(C31,'Project Status'!C:T,18,FALSE)</f>
        <v>0</v>
      </c>
      <c r="I31" s="254">
        <f>VLOOKUP(C31,'Project Status'!C:W,21,FALSE)</f>
        <v>1539500</v>
      </c>
    </row>
    <row r="32" spans="1:9" x14ac:dyDescent="0.4">
      <c r="A32" s="96">
        <f t="shared" si="0"/>
        <v>27</v>
      </c>
      <c r="B32" t="str">
        <f>VLOOKUP(C32,'Project Status'!C:K,8,FALSE)</f>
        <v>Active</v>
      </c>
      <c r="C32" s="55">
        <v>20724</v>
      </c>
      <c r="D32" s="26" t="str">
        <f>VLOOKUP(C32,'Project Status'!C:G,5,FALSE)</f>
        <v>Blair</v>
      </c>
      <c r="E32" t="str">
        <f>VLOOKUP(C32,'Project Status'!C:I,7,FALSE)</f>
        <v>Blair School of Music - Steam Line - FY 23</v>
      </c>
      <c r="F32" s="248">
        <f>VLOOKUP(C32,'Project Status'!C:M,11,FALSE)</f>
        <v>1987500</v>
      </c>
      <c r="G32" s="249">
        <f>VLOOKUP(C32,'Project Status'!C:S,17,FALSE)</f>
        <v>23400</v>
      </c>
      <c r="H32" s="250">
        <f>VLOOKUP(C32,'Project Status'!C:T,18,FALSE)</f>
        <v>1964100</v>
      </c>
      <c r="I32" s="254">
        <f>VLOOKUP(C32,'Project Status'!C:W,21,FALSE)</f>
        <v>0</v>
      </c>
    </row>
    <row r="33" spans="1:9" x14ac:dyDescent="0.4">
      <c r="A33" s="96">
        <f t="shared" si="0"/>
        <v>28</v>
      </c>
      <c r="B33" t="str">
        <f>VLOOKUP(C33,'Project Status'!C:K,8,FALSE)</f>
        <v>Complete</v>
      </c>
      <c r="C33" s="55">
        <v>20735</v>
      </c>
      <c r="D33" s="26" t="str">
        <f>VLOOKUP(C33,'Project Status'!C:G,5,FALSE)</f>
        <v>Owen</v>
      </c>
      <c r="E33" t="str">
        <f>VLOOKUP(C33,'Project Status'!C:I,7,FALSE)</f>
        <v>Owen - Roof Replacement (Third Level)</v>
      </c>
      <c r="F33" s="248">
        <f>VLOOKUP(C33,'Project Status'!C:M,11,FALSE)</f>
        <v>300000</v>
      </c>
      <c r="G33" s="249">
        <f>VLOOKUP(C33,'Project Status'!C:S,17,FALSE)</f>
        <v>300000</v>
      </c>
      <c r="H33" s="250">
        <f>VLOOKUP(C33,'Project Status'!C:T,18,FALSE)</f>
        <v>-23500</v>
      </c>
      <c r="I33" s="254">
        <f>VLOOKUP(C33,'Project Status'!C:W,21,FALSE)</f>
        <v>0</v>
      </c>
    </row>
    <row r="34" spans="1:9" x14ac:dyDescent="0.4">
      <c r="A34" s="96">
        <f t="shared" si="0"/>
        <v>29</v>
      </c>
      <c r="B34" t="str">
        <f>VLOOKUP(C34,'Project Status'!C:K,8,FALSE)</f>
        <v>Active</v>
      </c>
      <c r="C34" s="55">
        <v>20767</v>
      </c>
      <c r="D34" s="26" t="str">
        <f>VLOOKUP(C34,'Project Status'!C:G,5,FALSE)</f>
        <v>Peabody</v>
      </c>
      <c r="E34" t="str">
        <f>VLOOKUP(C34,'Project Status'!C:I,7,FALSE)</f>
        <v>Six Magnolia Circle - Foundation Repairs</v>
      </c>
      <c r="F34" s="248">
        <f>VLOOKUP(C34,'Project Status'!C:M,11,FALSE)</f>
        <v>149000</v>
      </c>
      <c r="G34" s="249">
        <f>VLOOKUP(C34,'Project Status'!C:S,17,FALSE)</f>
        <v>0</v>
      </c>
      <c r="H34" s="250">
        <f>VLOOKUP(C34,'Project Status'!C:T,18,FALSE)</f>
        <v>148299</v>
      </c>
      <c r="I34" s="254">
        <f>VLOOKUP(C34,'Project Status'!C:W,21,FALSE)</f>
        <v>0</v>
      </c>
    </row>
    <row r="35" spans="1:9" x14ac:dyDescent="0.4">
      <c r="A35" s="96">
        <f t="shared" si="0"/>
        <v>30</v>
      </c>
      <c r="B35" t="str">
        <f>VLOOKUP(C35,'Project Status'!C:K,8,FALSE)</f>
        <v>Complete</v>
      </c>
      <c r="C35" s="55">
        <v>20771</v>
      </c>
      <c r="D35" s="26" t="str">
        <f>VLOOKUP(C35,'Project Status'!C:G,5,FALSE)</f>
        <v>Arts &amp; Science</v>
      </c>
      <c r="E35" t="str">
        <f>VLOOKUP(C35,'Project Status'!C:I,7,FALSE)</f>
        <v>SC4 - Interstitial Space HVAC Modifications</v>
      </c>
      <c r="F35" s="248">
        <f>VLOOKUP(C35,'Project Status'!C:M,11,FALSE)</f>
        <v>25000</v>
      </c>
      <c r="G35" s="249">
        <f>VLOOKUP(C35,'Project Status'!C:S,17,FALSE)</f>
        <v>24997</v>
      </c>
      <c r="H35" s="250">
        <f>VLOOKUP(C35,'Project Status'!C:T,18,FALSE)</f>
        <v>-7025</v>
      </c>
      <c r="I35" s="254">
        <f>VLOOKUP(C35,'Project Status'!C:W,21,FALSE)</f>
        <v>0</v>
      </c>
    </row>
    <row r="36" spans="1:9" x14ac:dyDescent="0.4">
      <c r="A36" s="96">
        <f t="shared" si="0"/>
        <v>31</v>
      </c>
      <c r="B36" t="str">
        <f>VLOOKUP(C36,'Project Status'!C:K,8,FALSE)</f>
        <v>Active</v>
      </c>
      <c r="C36" s="55">
        <v>20772</v>
      </c>
      <c r="D36" s="26" t="str">
        <f>VLOOKUP(C36,'Project Status'!C:G,5,FALSE)</f>
        <v>Owen</v>
      </c>
      <c r="E36" t="str">
        <f>VLOOKUP(C36,'Project Status'!C:I,7,FALSE)</f>
        <v>OGSM Old Mechanical- Slate Roof &amp; Window Replacement</v>
      </c>
      <c r="F36" s="248">
        <f>VLOOKUP(C36,'Project Status'!C:M,11,FALSE)</f>
        <v>3200000</v>
      </c>
      <c r="G36" s="249">
        <f>VLOOKUP(C36,'Project Status'!C:S,17,FALSE)</f>
        <v>0</v>
      </c>
      <c r="H36" s="250">
        <f>VLOOKUP(C36,'Project Status'!C:T,18,FALSE)</f>
        <v>1600000</v>
      </c>
      <c r="I36" s="254">
        <f>VLOOKUP(C36,'Project Status'!C:W,21,FALSE)</f>
        <v>1600000</v>
      </c>
    </row>
    <row r="37" spans="1:9" x14ac:dyDescent="0.4">
      <c r="A37" s="96">
        <f t="shared" si="0"/>
        <v>32</v>
      </c>
      <c r="B37" t="str">
        <f>VLOOKUP(C37,'Project Status'!C:K,8,FALSE)</f>
        <v>Complete</v>
      </c>
      <c r="C37" s="55">
        <v>20792</v>
      </c>
      <c r="D37" s="26" t="str">
        <f>VLOOKUP(C37,'Project Status'!C:G,5,FALSE)</f>
        <v>Law</v>
      </c>
      <c r="E37" t="str">
        <f>VLOOKUP(C37,'Project Status'!C:I,7,FALSE)</f>
        <v>Law School - Sections 1, 2, &amp; 3  Roof Replacement</v>
      </c>
      <c r="F37" s="248">
        <f>VLOOKUP(C37,'Project Status'!C:M,11,FALSE)</f>
        <v>400000</v>
      </c>
      <c r="G37" s="249">
        <f>VLOOKUP(C37,'Project Status'!C:S,17,FALSE)</f>
        <v>483440</v>
      </c>
      <c r="H37" s="250">
        <f>VLOOKUP(C37,'Project Status'!C:T,18,FALSE)</f>
        <v>-32665</v>
      </c>
      <c r="I37" s="254">
        <f>VLOOKUP(C37,'Project Status'!C:W,21,FALSE)</f>
        <v>0</v>
      </c>
    </row>
    <row r="38" spans="1:9" x14ac:dyDescent="0.4">
      <c r="A38" s="96">
        <f t="shared" si="0"/>
        <v>33</v>
      </c>
      <c r="B38" t="str">
        <f>VLOOKUP(C38,'Project Status'!C:K,8,FALSE)</f>
        <v>Active</v>
      </c>
      <c r="C38" s="55">
        <v>20811</v>
      </c>
      <c r="D38" s="26" t="str">
        <f>VLOOKUP(C38,'Project Status'!C:G,5,FALSE)</f>
        <v>Peabody</v>
      </c>
      <c r="E38" t="str">
        <f>VLOOKUP(C38,'Project Status'!C:I,7,FALSE)</f>
        <v>One Magnolia Circle - Retaining Wall Repair</v>
      </c>
      <c r="F38" s="248">
        <f>VLOOKUP(C38,'Project Status'!C:M,11,FALSE)</f>
        <v>75000</v>
      </c>
      <c r="G38" s="249">
        <f>VLOOKUP(C38,'Project Status'!C:S,17,FALSE)</f>
        <v>0</v>
      </c>
      <c r="H38" s="250">
        <f>VLOOKUP(C38,'Project Status'!C:T,18,FALSE)</f>
        <v>285233.27</v>
      </c>
      <c r="I38" s="254">
        <f>VLOOKUP(C38,'Project Status'!C:W,21,FALSE)</f>
        <v>0</v>
      </c>
    </row>
    <row r="39" spans="1:9" x14ac:dyDescent="0.4">
      <c r="A39" s="96">
        <f t="shared" si="0"/>
        <v>34</v>
      </c>
      <c r="B39" t="str">
        <f>VLOOKUP(C39,'Project Status'!C:K,8,FALSE)</f>
        <v>Active</v>
      </c>
      <c r="C39" s="55">
        <v>20812</v>
      </c>
      <c r="D39" s="26" t="str">
        <f>VLOOKUP(C39,'Project Status'!C:G,5,FALSE)</f>
        <v>Engineering</v>
      </c>
      <c r="E39" t="str">
        <f>VLOOKUP(C39,'Project Status'!C:I,7,FALSE)</f>
        <v>1025 16th Avenue - Patio Repairs</v>
      </c>
      <c r="F39" s="248">
        <f>VLOOKUP(C39,'Project Status'!C:M,11,FALSE)</f>
        <v>600000</v>
      </c>
      <c r="G39" s="249">
        <f>VLOOKUP(C39,'Project Status'!C:S,17,FALSE)</f>
        <v>0</v>
      </c>
      <c r="H39" s="250">
        <f>VLOOKUP(C39,'Project Status'!C:T,18,FALSE)</f>
        <v>0</v>
      </c>
      <c r="I39" s="254">
        <f>VLOOKUP(C39,'Project Status'!C:W,21,FALSE)</f>
        <v>600000</v>
      </c>
    </row>
    <row r="40" spans="1:9" x14ac:dyDescent="0.4">
      <c r="A40" s="96">
        <f t="shared" si="0"/>
        <v>35</v>
      </c>
      <c r="B40" t="str">
        <f>VLOOKUP(C40,'Project Status'!C:K,8,FALSE)</f>
        <v>Complete</v>
      </c>
      <c r="C40" s="55">
        <v>20831</v>
      </c>
      <c r="D40" s="26" t="str">
        <f>VLOOKUP(C40,'Project Status'!C:G,5,FALSE)</f>
        <v>Arts &amp; Science</v>
      </c>
      <c r="E40" t="str">
        <f>VLOOKUP(C40,'Project Status'!C:I,7,FALSE)</f>
        <v>SC6 - HVAC Upgrades - Feasibility Study</v>
      </c>
      <c r="F40" s="248">
        <f>VLOOKUP(C40,'Project Status'!C:M,11,FALSE)</f>
        <v>24000</v>
      </c>
      <c r="G40" s="249">
        <f>VLOOKUP(C40,'Project Status'!C:S,17,FALSE)</f>
        <v>0</v>
      </c>
      <c r="H40" s="250">
        <f>VLOOKUP(C40,'Project Status'!C:T,18,FALSE)</f>
        <v>24000</v>
      </c>
      <c r="I40" s="254">
        <f>VLOOKUP(C40,'Project Status'!C:W,21,FALSE)</f>
        <v>0</v>
      </c>
    </row>
    <row r="41" spans="1:9" x14ac:dyDescent="0.4">
      <c r="A41" s="96">
        <f t="shared" si="0"/>
        <v>36</v>
      </c>
      <c r="B41" t="str">
        <f>VLOOKUP(C41,'Project Status'!C:K,8,FALSE)</f>
        <v>Complete</v>
      </c>
      <c r="C41" s="55">
        <v>20832</v>
      </c>
      <c r="D41" s="26" t="str">
        <f>VLOOKUP(C41,'Project Status'!C:G,5,FALSE)</f>
        <v>Arts &amp; Science</v>
      </c>
      <c r="E41" t="str">
        <f>VLOOKUP(C41,'Project Status'!C:I,7,FALSE)</f>
        <v>Wilson Hall - HVAC Replacement</v>
      </c>
      <c r="F41" s="248">
        <f>VLOOKUP(C41,'Project Status'!C:M,11,FALSE)</f>
        <v>24000</v>
      </c>
      <c r="G41" s="249">
        <f>VLOOKUP(C41,'Project Status'!C:S,17,FALSE)</f>
        <v>0</v>
      </c>
      <c r="H41" s="250">
        <f>VLOOKUP(C41,'Project Status'!C:T,18,FALSE)</f>
        <v>24000</v>
      </c>
      <c r="I41" s="254">
        <f>VLOOKUP(C41,'Project Status'!C:W,21,FALSE)</f>
        <v>0</v>
      </c>
    </row>
    <row r="42" spans="1:9" x14ac:dyDescent="0.4">
      <c r="A42" s="96">
        <f t="shared" si="0"/>
        <v>37</v>
      </c>
      <c r="B42" t="str">
        <f>VLOOKUP(C42,'Project Status'!C:K,8,FALSE)</f>
        <v>Complete</v>
      </c>
      <c r="C42" s="55">
        <v>20833</v>
      </c>
      <c r="D42" s="26" t="str">
        <f>VLOOKUP(C42,'Project Status'!C:G,5,FALSE)</f>
        <v>Arts &amp; Science</v>
      </c>
      <c r="E42" t="str">
        <f>VLOOKUP(C42,'Project Status'!C:I,7,FALSE)</f>
        <v>SC5 - HVAC Replacement (Design Services)</v>
      </c>
      <c r="F42" s="248">
        <f>VLOOKUP(C42,'Project Status'!C:M,11,FALSE)</f>
        <v>24000</v>
      </c>
      <c r="G42" s="249">
        <f>VLOOKUP(C42,'Project Status'!C:S,17,FALSE)</f>
        <v>0</v>
      </c>
      <c r="H42" s="250">
        <f>VLOOKUP(C42,'Project Status'!C:T,18,FALSE)</f>
        <v>24000</v>
      </c>
      <c r="I42" s="254">
        <f>VLOOKUP(C42,'Project Status'!C:W,21,FALSE)</f>
        <v>0</v>
      </c>
    </row>
    <row r="43" spans="1:9" x14ac:dyDescent="0.4">
      <c r="A43" s="96">
        <f t="shared" si="0"/>
        <v>38</v>
      </c>
      <c r="B43" t="str">
        <f>VLOOKUP(C43,'Project Status'!C:K,8,FALSE)</f>
        <v>Voided</v>
      </c>
      <c r="C43" s="55">
        <v>20834</v>
      </c>
      <c r="D43" s="26" t="str">
        <f>VLOOKUP(C43,'Project Status'!C:G,5,FALSE)</f>
        <v>Peabody</v>
      </c>
      <c r="E43" t="str">
        <f>VLOOKUP(C43,'Project Status'!C:I,7,FALSE)</f>
        <v>Wyatt Center - HVAC Upgrades - Engineering Study</v>
      </c>
      <c r="F43" s="248">
        <f>VLOOKUP(C43,'Project Status'!C:M,11,FALSE)</f>
        <v>5000</v>
      </c>
      <c r="G43" s="249">
        <f>VLOOKUP(C43,'Project Status'!C:S,17,FALSE)</f>
        <v>0</v>
      </c>
      <c r="H43" s="250">
        <f>VLOOKUP(C43,'Project Status'!C:T,18,FALSE)</f>
        <v>0</v>
      </c>
      <c r="I43" s="254">
        <f>VLOOKUP(C43,'Project Status'!C:W,21,FALSE)</f>
        <v>0</v>
      </c>
    </row>
    <row r="44" spans="1:9" x14ac:dyDescent="0.4">
      <c r="A44" s="96">
        <f t="shared" si="0"/>
        <v>39</v>
      </c>
      <c r="B44" t="str">
        <f>VLOOKUP(C44,'Project Status'!C:K,8,FALSE)</f>
        <v>Active</v>
      </c>
      <c r="C44" s="55">
        <v>20857</v>
      </c>
      <c r="D44" s="26" t="str">
        <f>VLOOKUP(C44,'Project Status'!C:G,5,FALSE)</f>
        <v>Peabody</v>
      </c>
      <c r="E44" t="str">
        <f>VLOOKUP(C44,'Project Status'!C:I,7,FALSE)</f>
        <v>One Magnolia Circle - Elevator Modernization</v>
      </c>
      <c r="F44" s="248">
        <f>VLOOKUP(C44,'Project Status'!C:M,11,FALSE)</f>
        <v>499184</v>
      </c>
      <c r="G44" s="249">
        <f>VLOOKUP(C44,'Project Status'!C:S,17,FALSE)</f>
        <v>0</v>
      </c>
      <c r="H44" s="250">
        <f>VLOOKUP(C44,'Project Status'!C:T,18,FALSE)</f>
        <v>499184</v>
      </c>
      <c r="I44" s="254">
        <f>VLOOKUP(C44,'Project Status'!C:W,21,FALSE)</f>
        <v>0</v>
      </c>
    </row>
    <row r="45" spans="1:9" x14ac:dyDescent="0.4">
      <c r="A45" s="96">
        <f t="shared" si="0"/>
        <v>40</v>
      </c>
      <c r="B45" t="str">
        <f>VLOOKUP(C45,'Project Status'!C:K,8,FALSE)</f>
        <v>Active</v>
      </c>
      <c r="C45" s="55">
        <v>20884</v>
      </c>
      <c r="D45" s="26" t="str">
        <f>VLOOKUP(C45,'Project Status'!C:G,5,FALSE)</f>
        <v>Law</v>
      </c>
      <c r="E45" t="str">
        <f>VLOOKUP(C45,'Project Status'!C:I,7,FALSE)</f>
        <v>Law School - Exterior Window Painting</v>
      </c>
      <c r="F45" s="248">
        <f>VLOOKUP(C45,'Project Status'!C:M,11,FALSE)</f>
        <v>675650</v>
      </c>
      <c r="G45" s="249">
        <f>VLOOKUP(C45,'Project Status'!C:S,17,FALSE)</f>
        <v>0</v>
      </c>
      <c r="H45" s="250">
        <f>VLOOKUP(C45,'Project Status'!C:T,18,FALSE)</f>
        <v>675650</v>
      </c>
      <c r="I45" s="254">
        <f>VLOOKUP(C45,'Project Status'!C:W,21,FALSE)</f>
        <v>0</v>
      </c>
    </row>
    <row r="46" spans="1:9" x14ac:dyDescent="0.4">
      <c r="A46" s="96">
        <f t="shared" si="0"/>
        <v>41</v>
      </c>
      <c r="B46" t="str">
        <f>VLOOKUP(C46,'Project Status'!C:K,8,FALSE)</f>
        <v>Active</v>
      </c>
      <c r="C46" s="55">
        <v>20885</v>
      </c>
      <c r="D46" s="26" t="str">
        <f>VLOOKUP(C46,'Project Status'!C:G,5,FALSE)</f>
        <v>Arts &amp; Science</v>
      </c>
      <c r="E46" t="str">
        <f>VLOOKUP(C46,'Project Status'!C:I,7,FALSE)</f>
        <v>NMR - Replace Air Compressors</v>
      </c>
      <c r="F46" s="248">
        <f>VLOOKUP(C46,'Project Status'!C:M,11,FALSE)</f>
        <v>99000</v>
      </c>
      <c r="G46" s="249">
        <f>VLOOKUP(C46,'Project Status'!C:S,17,FALSE)</f>
        <v>0</v>
      </c>
      <c r="H46" s="250">
        <f>VLOOKUP(C46,'Project Status'!C:T,18,FALSE)</f>
        <v>113053.4</v>
      </c>
      <c r="I46" s="254">
        <f>VLOOKUP(C46,'Project Status'!C:W,21,FALSE)</f>
        <v>30000</v>
      </c>
    </row>
    <row r="47" spans="1:9" x14ac:dyDescent="0.4">
      <c r="A47" s="96">
        <f t="shared" si="0"/>
        <v>42</v>
      </c>
      <c r="B47" t="str">
        <f>VLOOKUP(C47,'Project Status'!C:K,8,FALSE)</f>
        <v>Active</v>
      </c>
      <c r="C47" s="55">
        <v>20911</v>
      </c>
      <c r="D47" s="26" t="str">
        <f>VLOOKUP(C47,'Project Status'!C:G,5,FALSE)</f>
        <v>Arts &amp; Science</v>
      </c>
      <c r="E47" t="str">
        <f>VLOOKUP(C47,'Project Status'!C:I,7,FALSE)</f>
        <v>Buttrick Hall - Elevator Upgrades</v>
      </c>
      <c r="F47" s="248">
        <f>VLOOKUP(C47,'Project Status'!C:M,11,FALSE)</f>
        <v>61045</v>
      </c>
      <c r="G47" s="249">
        <f>VLOOKUP(C47,'Project Status'!C:S,17,FALSE)</f>
        <v>0</v>
      </c>
      <c r="H47" s="250">
        <f>VLOOKUP(C47,'Project Status'!C:T,18,FALSE)</f>
        <v>61045</v>
      </c>
      <c r="I47" s="254">
        <f>VLOOKUP(C47,'Project Status'!C:W,21,FALSE)</f>
        <v>0</v>
      </c>
    </row>
    <row r="48" spans="1:9" x14ac:dyDescent="0.4">
      <c r="A48" s="96">
        <f t="shared" si="0"/>
        <v>43</v>
      </c>
      <c r="B48" t="str">
        <f>VLOOKUP(C48,'Project Status'!C:K,8,FALSE)</f>
        <v>Active</v>
      </c>
      <c r="C48" s="55">
        <v>20912</v>
      </c>
      <c r="D48" s="26" t="str">
        <f>VLOOKUP(C48,'Project Status'!C:G,5,FALSE)</f>
        <v>Arts &amp; Science</v>
      </c>
      <c r="E48" t="str">
        <f>VLOOKUP(C48,'Project Status'!C:I,7,FALSE)</f>
        <v>Benson Hall - Elevator Upgrades</v>
      </c>
      <c r="F48" s="248">
        <f>VLOOKUP(C48,'Project Status'!C:M,11,FALSE)</f>
        <v>59798</v>
      </c>
      <c r="G48" s="249">
        <f>VLOOKUP(C48,'Project Status'!C:S,17,FALSE)</f>
        <v>0</v>
      </c>
      <c r="H48" s="250">
        <f>VLOOKUP(C48,'Project Status'!C:T,18,FALSE)</f>
        <v>59798</v>
      </c>
      <c r="I48" s="254">
        <f>VLOOKUP(C48,'Project Status'!C:W,21,FALSE)</f>
        <v>0</v>
      </c>
    </row>
    <row r="49" spans="1:9" x14ac:dyDescent="0.4">
      <c r="A49" s="96">
        <f t="shared" si="0"/>
        <v>44</v>
      </c>
      <c r="B49" t="str">
        <f>VLOOKUP(C49,'Project Status'!C:K,8,FALSE)</f>
        <v>Active</v>
      </c>
      <c r="C49" s="55">
        <v>20913</v>
      </c>
      <c r="D49" s="26" t="str">
        <f>VLOOKUP(C49,'Project Status'!C:G,5,FALSE)</f>
        <v>Arts &amp; Science</v>
      </c>
      <c r="E49" t="str">
        <f>VLOOKUP(C49,'Project Status'!C:I,7,FALSE)</f>
        <v>Wilson Hall - Elevator Upgrades</v>
      </c>
      <c r="F49" s="248">
        <f>VLOOKUP(C49,'Project Status'!C:M,11,FALSE)</f>
        <v>96612</v>
      </c>
      <c r="G49" s="249">
        <f>VLOOKUP(C49,'Project Status'!C:S,17,FALSE)</f>
        <v>0</v>
      </c>
      <c r="H49" s="250">
        <f>VLOOKUP(C49,'Project Status'!C:T,18,FALSE)</f>
        <v>96612</v>
      </c>
      <c r="I49" s="254">
        <f>VLOOKUP(C49,'Project Status'!C:W,21,FALSE)</f>
        <v>0</v>
      </c>
    </row>
    <row r="50" spans="1:9" x14ac:dyDescent="0.4">
      <c r="A50" s="96">
        <f t="shared" si="0"/>
        <v>45</v>
      </c>
      <c r="B50" t="str">
        <f>VLOOKUP(C50,'Project Status'!C:K,8,FALSE)</f>
        <v>Active</v>
      </c>
      <c r="C50" s="55">
        <v>20922</v>
      </c>
      <c r="D50" s="26" t="str">
        <f>VLOOKUP(C50,'Project Status'!C:G,5,FALSE)</f>
        <v>Arts &amp; Science</v>
      </c>
      <c r="E50" t="str">
        <f>VLOOKUP(C50,'Project Status'!C:I,7,FALSE)</f>
        <v>Vaughn Home - Exterior Improvements</v>
      </c>
      <c r="F50" s="248">
        <f>VLOOKUP(C50,'Project Status'!C:M,11,FALSE)</f>
        <v>170000</v>
      </c>
      <c r="G50" s="249">
        <f>VLOOKUP(C50,'Project Status'!C:S,17,FALSE)</f>
        <v>0</v>
      </c>
      <c r="H50" s="250">
        <f>VLOOKUP(C50,'Project Status'!C:T,18,FALSE)</f>
        <v>197150</v>
      </c>
      <c r="I50" s="254">
        <f>VLOOKUP(C50,'Project Status'!C:W,21,FALSE)</f>
        <v>0</v>
      </c>
    </row>
    <row r="51" spans="1:9" x14ac:dyDescent="0.4">
      <c r="A51" s="96">
        <f t="shared" si="0"/>
        <v>46</v>
      </c>
      <c r="B51" t="str">
        <f>VLOOKUP(C51,'Project Status'!C:K,8,FALSE)</f>
        <v>Active</v>
      </c>
      <c r="C51" s="55">
        <v>20924</v>
      </c>
      <c r="D51" s="26" t="str">
        <f>VLOOKUP(C51,'Project Status'!C:G,5,FALSE)</f>
        <v>Nursing</v>
      </c>
      <c r="E51" t="str">
        <f>VLOOKUP(C51,'Project Status'!C:I,7,FALSE)</f>
        <v>Frist Hall - Stairwell Roof Replacement</v>
      </c>
      <c r="F51" s="248">
        <f>VLOOKUP(C51,'Project Status'!C:M,11,FALSE)</f>
        <v>30570</v>
      </c>
      <c r="G51" s="249">
        <f>VLOOKUP(C51,'Project Status'!C:S,17,FALSE)</f>
        <v>0</v>
      </c>
      <c r="H51" s="250">
        <f>VLOOKUP(C51,'Project Status'!C:T,18,FALSE)</f>
        <v>30570</v>
      </c>
      <c r="I51" s="254">
        <f>VLOOKUP(C51,'Project Status'!C:W,21,FALSE)</f>
        <v>0</v>
      </c>
    </row>
    <row r="52" spans="1:9" x14ac:dyDescent="0.4">
      <c r="A52" s="96">
        <f t="shared" si="0"/>
        <v>47</v>
      </c>
      <c r="B52" t="str">
        <f>VLOOKUP(C52,'Project Status'!C:K,8,FALSE)</f>
        <v>Active</v>
      </c>
      <c r="C52" s="55">
        <v>20925</v>
      </c>
      <c r="D52" s="26" t="str">
        <f>VLOOKUP(C52,'Project Status'!C:G,5,FALSE)</f>
        <v>Blair</v>
      </c>
      <c r="E52" t="str">
        <f>VLOOKUP(C52,'Project Status'!C:I,7,FALSE)</f>
        <v>Blair School of Music - AHU 2/3 Replacement  - Phase 2 - FY26</v>
      </c>
      <c r="F52" s="248">
        <f>VLOOKUP(C52,'Project Status'!C:M,11,FALSE)</f>
        <v>2750000</v>
      </c>
      <c r="G52" s="249">
        <f>VLOOKUP(C52,'Project Status'!C:S,17,FALSE)</f>
        <v>0</v>
      </c>
      <c r="H52" s="250">
        <f>VLOOKUP(C52,'Project Status'!C:T,18,FALSE)</f>
        <v>0</v>
      </c>
      <c r="I52" s="254">
        <f>VLOOKUP(C52,'Project Status'!C:W,21,FALSE)</f>
        <v>0</v>
      </c>
    </row>
    <row r="53" spans="1:9" x14ac:dyDescent="0.4">
      <c r="A53" s="96">
        <f t="shared" si="0"/>
        <v>48</v>
      </c>
      <c r="B53" t="str">
        <f>VLOOKUP(C53,'Project Status'!C:K,8,FALSE)</f>
        <v>Voided</v>
      </c>
      <c r="C53" s="55">
        <v>20934</v>
      </c>
      <c r="D53" s="26" t="str">
        <f>VLOOKUP(C53,'Project Status'!C:G,5,FALSE)</f>
        <v>Arts &amp; Science</v>
      </c>
      <c r="E53" t="str">
        <f>VLOOKUP(C53,'Project Status'!C:I,7,FALSE)</f>
        <v>Neely Auditorium - MEP Feasibility Study</v>
      </c>
      <c r="F53" s="248">
        <f>VLOOKUP(C53,'Project Status'!C:M,11,FALSE)</f>
        <v>0</v>
      </c>
      <c r="G53" s="249">
        <f>VLOOKUP(C53,'Project Status'!C:S,17,FALSE)</f>
        <v>0</v>
      </c>
      <c r="H53" s="250">
        <f>VLOOKUP(C53,'Project Status'!C:T,18,FALSE)</f>
        <v>0</v>
      </c>
      <c r="I53" s="254" t="str">
        <f>VLOOKUP(C53,'Project Status'!C:W,21,FALSE)</f>
        <v>TBD</v>
      </c>
    </row>
    <row r="54" spans="1:9" x14ac:dyDescent="0.4">
      <c r="A54" s="96">
        <f t="shared" si="0"/>
        <v>49</v>
      </c>
      <c r="B54" t="str">
        <f>VLOOKUP(C54,'Project Status'!C:K,8,FALSE)</f>
        <v>Active</v>
      </c>
      <c r="C54" s="55">
        <v>20936</v>
      </c>
      <c r="D54" s="26" t="str">
        <f>VLOOKUP(C54,'Project Status'!C:G,5,FALSE)</f>
        <v>Arts &amp; Science</v>
      </c>
      <c r="E54" t="str">
        <f>VLOOKUP(C54,'Project Status'!C:I,7,FALSE)</f>
        <v>Wilson Hall - Lighting Retrofit for 103 and 126</v>
      </c>
      <c r="F54" s="248">
        <f>VLOOKUP(C54,'Project Status'!C:M,11,FALSE)</f>
        <v>405000</v>
      </c>
      <c r="G54" s="249">
        <f>VLOOKUP(C54,'Project Status'!C:S,17,FALSE)</f>
        <v>0</v>
      </c>
      <c r="H54" s="250">
        <f>VLOOKUP(C54,'Project Status'!C:T,18,FALSE)</f>
        <v>404655.91</v>
      </c>
      <c r="I54" s="254">
        <f>VLOOKUP(C54,'Project Status'!C:W,21,FALSE)</f>
        <v>0</v>
      </c>
    </row>
    <row r="55" spans="1:9" x14ac:dyDescent="0.4">
      <c r="A55" s="96">
        <f t="shared" si="0"/>
        <v>50</v>
      </c>
      <c r="B55" t="str">
        <f>VLOOKUP(C55,'Project Status'!C:K,8,FALSE)</f>
        <v>Active</v>
      </c>
      <c r="C55" s="55">
        <v>20940</v>
      </c>
      <c r="D55" s="26" t="str">
        <f>VLOOKUP(C55,'Project Status'!C:G,5,FALSE)</f>
        <v>Engineering</v>
      </c>
      <c r="E55" t="str">
        <f>VLOOKUP(C55,'Project Status'!C:I,7,FALSE)</f>
        <v>1025 16th Avenue - Security System Replacement</v>
      </c>
      <c r="F55" s="248">
        <f>VLOOKUP(C55,'Project Status'!C:M,11,FALSE)</f>
        <v>310000</v>
      </c>
      <c r="G55" s="249">
        <f>VLOOKUP(C55,'Project Status'!C:S,17,FALSE)</f>
        <v>0</v>
      </c>
      <c r="H55" s="250">
        <f>VLOOKUP(C55,'Project Status'!C:T,18,FALSE)</f>
        <v>0</v>
      </c>
      <c r="I55" s="254">
        <f>VLOOKUP(C55,'Project Status'!C:W,21,FALSE)</f>
        <v>309548.64</v>
      </c>
    </row>
    <row r="56" spans="1:9" x14ac:dyDescent="0.4">
      <c r="A56" s="96">
        <f t="shared" si="0"/>
        <v>51</v>
      </c>
      <c r="B56" t="str">
        <f>VLOOKUP(C56,'Project Status'!C:K,8,FALSE)</f>
        <v>Active</v>
      </c>
      <c r="C56" s="55">
        <v>20945</v>
      </c>
      <c r="D56" s="26" t="str">
        <f>VLOOKUP(C56,'Project Status'!C:G,5,FALSE)</f>
        <v>Other</v>
      </c>
      <c r="E56" t="str">
        <f>VLOOKUP(C56,'Project Status'!C:I,7,FALSE)</f>
        <v>Seigenthaler Building - HVAC Improvements</v>
      </c>
      <c r="F56" s="248">
        <f>VLOOKUP(C56,'Project Status'!C:M,11,FALSE)</f>
        <v>99000</v>
      </c>
      <c r="G56" s="249">
        <f>VLOOKUP(C56,'Project Status'!C:S,17,FALSE)</f>
        <v>0</v>
      </c>
      <c r="H56" s="250">
        <f>VLOOKUP(C56,'Project Status'!C:T,18,FALSE)</f>
        <v>99000</v>
      </c>
      <c r="I56" s="254">
        <f>VLOOKUP(C56,'Project Status'!C:W,21,FALSE)</f>
        <v>0</v>
      </c>
    </row>
    <row r="57" spans="1:9" x14ac:dyDescent="0.4">
      <c r="A57" s="96">
        <f t="shared" si="0"/>
        <v>52</v>
      </c>
      <c r="B57" t="str">
        <f>VLOOKUP(C57,'Project Status'!C:K,8,FALSE)</f>
        <v>Voided</v>
      </c>
      <c r="C57" s="55">
        <v>20957</v>
      </c>
      <c r="D57" s="26" t="str">
        <f>VLOOKUP(C57,'Project Status'!C:G,5,FALSE)</f>
        <v>Arts &amp; Science</v>
      </c>
      <c r="E57" t="str">
        <f>VLOOKUP(C57,'Project Status'!C:I,7,FALSE)</f>
        <v>SC6 - Roof Replacement</v>
      </c>
      <c r="F57" s="248">
        <f>VLOOKUP(C57,'Project Status'!C:M,11,FALSE)</f>
        <v>500000</v>
      </c>
      <c r="G57" s="249">
        <f>VLOOKUP(C57,'Project Status'!C:S,17,FALSE)</f>
        <v>0</v>
      </c>
      <c r="H57" s="250">
        <f>VLOOKUP(C57,'Project Status'!C:T,18,FALSE)</f>
        <v>0</v>
      </c>
      <c r="I57" s="254">
        <f>VLOOKUP(C57,'Project Status'!C:W,21,FALSE)</f>
        <v>0</v>
      </c>
    </row>
    <row r="58" spans="1:9" x14ac:dyDescent="0.4">
      <c r="A58" s="96">
        <f t="shared" si="0"/>
        <v>53</v>
      </c>
      <c r="B58" t="str">
        <f>VLOOKUP(C58,'Project Status'!C:K,8,FALSE)</f>
        <v>Active</v>
      </c>
      <c r="C58" s="55">
        <v>20958</v>
      </c>
      <c r="D58" s="26" t="str">
        <f>VLOOKUP(C58,'Project Status'!C:G,5,FALSE)</f>
        <v>Arts &amp; Science</v>
      </c>
      <c r="E58" t="str">
        <f>VLOOKUP(C58,'Project Status'!C:I,7,FALSE)</f>
        <v>Furman Hall - Elevator Modernization</v>
      </c>
      <c r="F58" s="248">
        <f>VLOOKUP(C58,'Project Status'!C:M,11,FALSE)</f>
        <v>290000</v>
      </c>
      <c r="G58" s="249">
        <f>VLOOKUP(C58,'Project Status'!C:S,17,FALSE)</f>
        <v>0</v>
      </c>
      <c r="H58" s="250">
        <f>VLOOKUP(C58,'Project Status'!C:T,18,FALSE)</f>
        <v>18175</v>
      </c>
      <c r="I58" s="254">
        <f>VLOOKUP(C58,'Project Status'!C:W,21,FALSE)</f>
        <v>243454</v>
      </c>
    </row>
    <row r="59" spans="1:9" x14ac:dyDescent="0.4">
      <c r="A59" s="96">
        <f t="shared" si="0"/>
        <v>54</v>
      </c>
      <c r="B59" t="str">
        <f>VLOOKUP(C59,'Project Status'!C:K,8,FALSE)</f>
        <v>Active</v>
      </c>
      <c r="C59" s="55">
        <v>20962</v>
      </c>
      <c r="D59" s="26" t="str">
        <f>VLOOKUP(C59,'Project Status'!C:G,5,FALSE)</f>
        <v>Arts &amp; Science</v>
      </c>
      <c r="E59" t="str">
        <f>VLOOKUP(C59,'Project Status'!C:I,7,FALSE)</f>
        <v>Vaughn Home - Roof Replacement</v>
      </c>
      <c r="F59" s="248">
        <f>VLOOKUP(C59,'Project Status'!C:M,11,FALSE)</f>
        <v>1750000</v>
      </c>
      <c r="G59" s="249">
        <f>VLOOKUP(C59,'Project Status'!C:S,17,FALSE)</f>
        <v>0</v>
      </c>
      <c r="H59" s="250">
        <f>VLOOKUP(C59,'Project Status'!C:T,18,FALSE)</f>
        <v>0</v>
      </c>
      <c r="I59" s="254">
        <f>VLOOKUP(C59,'Project Status'!C:W,21,FALSE)</f>
        <v>2001800</v>
      </c>
    </row>
    <row r="60" spans="1:9" x14ac:dyDescent="0.4">
      <c r="A60" s="96">
        <f t="shared" si="0"/>
        <v>55</v>
      </c>
      <c r="B60" t="str">
        <f>VLOOKUP(C60,'Project Status'!C:K,8,FALSE)</f>
        <v>Active</v>
      </c>
      <c r="C60" s="55">
        <v>20979</v>
      </c>
      <c r="D60" s="26" t="str">
        <f>VLOOKUP(C60,'Project Status'!C:G,5,FALSE)</f>
        <v>Engineering</v>
      </c>
      <c r="E60" t="str">
        <f>VLOOKUP(C60,'Project Status'!C:I,7,FALSE)</f>
        <v>1025 16th Avenue - Roof Replacement</v>
      </c>
      <c r="F60" s="248">
        <f>VLOOKUP(C60,'Project Status'!C:M,11,FALSE)</f>
        <v>270000</v>
      </c>
      <c r="G60" s="249">
        <f>VLOOKUP(C60,'Project Status'!C:S,17,FALSE)</f>
        <v>0</v>
      </c>
      <c r="H60" s="250">
        <f>VLOOKUP(C60,'Project Status'!C:T,18,FALSE)</f>
        <v>0</v>
      </c>
      <c r="I60" s="254">
        <f>VLOOKUP(C60,'Project Status'!C:W,21,FALSE)</f>
        <v>0</v>
      </c>
    </row>
    <row r="61" spans="1:9" x14ac:dyDescent="0.4">
      <c r="A61" s="96">
        <f t="shared" si="0"/>
        <v>56</v>
      </c>
      <c r="B61" t="str">
        <f>VLOOKUP(C61,'Project Status'!C:K,8,FALSE)</f>
        <v>Active</v>
      </c>
      <c r="C61" s="55">
        <v>20982</v>
      </c>
      <c r="D61" s="26" t="str">
        <f>VLOOKUP(C61,'Project Status'!C:G,5,FALSE)</f>
        <v>Law</v>
      </c>
      <c r="E61" t="str">
        <f>VLOOKUP(C61,'Project Status'!C:I,7,FALSE)</f>
        <v>Law School - Elevator 1 Modernization</v>
      </c>
      <c r="F61" s="248">
        <f>VLOOKUP(C61,'Project Status'!C:M,11,FALSE)</f>
        <v>272000</v>
      </c>
      <c r="G61" s="249">
        <f>VLOOKUP(C61,'Project Status'!C:S,17,FALSE)</f>
        <v>0</v>
      </c>
      <c r="H61" s="250">
        <f>VLOOKUP(C61,'Project Status'!C:T,18,FALSE)</f>
        <v>18175</v>
      </c>
      <c r="I61" s="254">
        <f>VLOOKUP(C61,'Project Status'!C:W,21,FALSE)</f>
        <v>253825</v>
      </c>
    </row>
    <row r="62" spans="1:9" x14ac:dyDescent="0.4">
      <c r="A62" s="96">
        <f t="shared" si="0"/>
        <v>57</v>
      </c>
      <c r="B62" t="str">
        <f>VLOOKUP(C62,'Project Status'!C:K,8,FALSE)</f>
        <v>Active</v>
      </c>
      <c r="C62" s="55">
        <v>20984</v>
      </c>
      <c r="D62" s="26" t="str">
        <f>VLOOKUP(C62,'Project Status'!C:G,5,FALSE)</f>
        <v>Arts &amp; Science</v>
      </c>
      <c r="E62" t="str">
        <f>VLOOKUP(C62,'Project Status'!C:I,7,FALSE)</f>
        <v>Wilson Hall - 1st Floor Urinal Replacement</v>
      </c>
      <c r="F62" s="248">
        <f>VLOOKUP(C62,'Project Status'!C:M,11,FALSE)</f>
        <v>167000</v>
      </c>
      <c r="G62" s="249">
        <f>VLOOKUP(C62,'Project Status'!C:S,17,FALSE)</f>
        <v>0</v>
      </c>
      <c r="H62" s="250">
        <f>VLOOKUP(C62,'Project Status'!C:T,18,FALSE)</f>
        <v>0</v>
      </c>
      <c r="I62" s="254">
        <f>VLOOKUP(C62,'Project Status'!C:W,21,FALSE)</f>
        <v>167000</v>
      </c>
    </row>
    <row r="63" spans="1:9" x14ac:dyDescent="0.4">
      <c r="A63" s="96">
        <f t="shared" si="0"/>
        <v>58</v>
      </c>
      <c r="B63" t="str">
        <f>VLOOKUP(C63,'Project Status'!C:K,8,FALSE)</f>
        <v>Active</v>
      </c>
      <c r="C63" s="55">
        <v>21004</v>
      </c>
      <c r="D63" s="26" t="str">
        <f>VLOOKUP(C63,'Project Status'!C:G,5,FALSE)</f>
        <v>Arts &amp; Science</v>
      </c>
      <c r="E63" t="str">
        <f>VLOOKUP(C63,'Project Status'!C:I,7,FALSE)</f>
        <v>SC5 - HVAC Upgrade Floors 1 and 2 (Phase 1)</v>
      </c>
      <c r="F63" s="248">
        <f>VLOOKUP(C63,'Project Status'!C:M,11,FALSE)</f>
        <v>0</v>
      </c>
      <c r="G63" s="249">
        <f>VLOOKUP(C63,'Project Status'!C:S,17,FALSE)</f>
        <v>0</v>
      </c>
      <c r="H63" s="250">
        <f>VLOOKUP(C63,'Project Status'!C:T,18,FALSE)</f>
        <v>0</v>
      </c>
      <c r="I63" s="254">
        <f>VLOOKUP(C63,'Project Status'!C:W,21,FALSE)</f>
        <v>54000</v>
      </c>
    </row>
    <row r="64" spans="1:9" x14ac:dyDescent="0.4">
      <c r="A64" s="96">
        <f t="shared" si="0"/>
        <v>59</v>
      </c>
      <c r="B64" t="str">
        <f>VLOOKUP(C64,'Project Status'!C:K,8,FALSE)</f>
        <v>Deferred / On Hold</v>
      </c>
      <c r="C64" s="55">
        <v>21005</v>
      </c>
      <c r="D64" s="26" t="str">
        <f>VLOOKUP(C64,'Project Status'!C:G,5,FALSE)</f>
        <v>Arts &amp; Science</v>
      </c>
      <c r="E64" t="str">
        <f>VLOOKUP(C64,'Project Status'!C:I,7,FALSE)</f>
        <v>SC5 - HVAC Upgrade Floors 4, 5, and 7 (Phase 2)</v>
      </c>
      <c r="F64" s="248">
        <f>VLOOKUP(C64,'Project Status'!C:M,11,FALSE)</f>
        <v>0</v>
      </c>
      <c r="G64" s="249">
        <f>VLOOKUP(C64,'Project Status'!C:S,17,FALSE)</f>
        <v>0</v>
      </c>
      <c r="H64" s="250">
        <f>VLOOKUP(C64,'Project Status'!C:T,18,FALSE)</f>
        <v>0</v>
      </c>
      <c r="I64" s="254">
        <f>VLOOKUP(C64,'Project Status'!C:W,21,FALSE)</f>
        <v>0</v>
      </c>
    </row>
    <row r="65" spans="1:9" x14ac:dyDescent="0.4">
      <c r="A65" s="96">
        <f t="shared" si="0"/>
        <v>60</v>
      </c>
      <c r="B65" t="str">
        <f>VLOOKUP(C65,'Project Status'!C:K,8,FALSE)</f>
        <v>Deferred / On Hold</v>
      </c>
      <c r="C65" s="55">
        <v>21006</v>
      </c>
      <c r="D65" s="26" t="str">
        <f>VLOOKUP(C65,'Project Status'!C:G,5,FALSE)</f>
        <v>Engineering</v>
      </c>
      <c r="E65" t="str">
        <f>VLOOKUP(C65,'Project Status'!C:I,7,FALSE)</f>
        <v>SC5 - HVAC Upgrade Floors 3 and 6 (Phase 3)</v>
      </c>
      <c r="F65" s="248">
        <f>VLOOKUP(C65,'Project Status'!C:M,11,FALSE)</f>
        <v>0</v>
      </c>
      <c r="G65" s="249">
        <f>VLOOKUP(C65,'Project Status'!C:S,17,FALSE)</f>
        <v>0</v>
      </c>
      <c r="H65" s="250">
        <f>VLOOKUP(C65,'Project Status'!C:T,18,FALSE)</f>
        <v>0</v>
      </c>
      <c r="I65" s="254">
        <f>VLOOKUP(C65,'Project Status'!C:W,21,FALSE)</f>
        <v>0</v>
      </c>
    </row>
    <row r="66" spans="1:9" x14ac:dyDescent="0.4">
      <c r="A66" s="96">
        <f t="shared" si="0"/>
        <v>61</v>
      </c>
      <c r="B66" t="str">
        <f>VLOOKUP(C66,'Project Status'!C:K,8,FALSE)</f>
        <v>Deferred / On Hold</v>
      </c>
      <c r="C66" s="55">
        <v>21007</v>
      </c>
      <c r="D66" s="26" t="str">
        <f>VLOOKUP(C66,'Project Status'!C:G,5,FALSE)</f>
        <v>Engineering</v>
      </c>
      <c r="E66" t="str">
        <f>VLOOKUP(C66,'Project Status'!C:I,7,FALSE)</f>
        <v>SC5 - HVAC Upgrade Floors 8 and 9 (Phase 4)</v>
      </c>
      <c r="F66" s="248">
        <f>VLOOKUP(C66,'Project Status'!C:M,11,FALSE)</f>
        <v>0</v>
      </c>
      <c r="G66" s="249">
        <f>VLOOKUP(C66,'Project Status'!C:S,17,FALSE)</f>
        <v>0</v>
      </c>
      <c r="H66" s="250">
        <f>VLOOKUP(C66,'Project Status'!C:T,18,FALSE)</f>
        <v>0</v>
      </c>
      <c r="I66" s="254">
        <f>VLOOKUP(C66,'Project Status'!C:W,21,FALSE)</f>
        <v>0</v>
      </c>
    </row>
    <row r="67" spans="1:9" x14ac:dyDescent="0.4">
      <c r="A67" s="96">
        <f t="shared" si="0"/>
        <v>62</v>
      </c>
      <c r="B67" t="str">
        <f>VLOOKUP(C67,'Project Status'!C:K,8,FALSE)</f>
        <v>Active</v>
      </c>
      <c r="C67" s="55">
        <v>21010</v>
      </c>
      <c r="D67" s="26" t="str">
        <f>VLOOKUP(C67,'Project Status'!C:G,5,FALSE)</f>
        <v>Engineering</v>
      </c>
      <c r="E67" t="str">
        <f>VLOOKUP(C67,'Project Status'!C:I,7,FALSE)</f>
        <v>Featheringill-Jacobs Hall - Hot Water Tank Replacement</v>
      </c>
      <c r="F67" s="248">
        <f>VLOOKUP(C67,'Project Status'!C:M,11,FALSE)</f>
        <v>30000</v>
      </c>
      <c r="G67" s="249">
        <f>VLOOKUP(C67,'Project Status'!C:S,17,FALSE)</f>
        <v>0</v>
      </c>
      <c r="H67" s="250">
        <f>VLOOKUP(C67,'Project Status'!C:T,18,FALSE)</f>
        <v>0</v>
      </c>
      <c r="I67" s="254">
        <f>VLOOKUP(C67,'Project Status'!C:W,21,FALSE)</f>
        <v>0</v>
      </c>
    </row>
    <row r="68" spans="1:9" x14ac:dyDescent="0.4">
      <c r="A68" s="96">
        <f t="shared" si="0"/>
        <v>63</v>
      </c>
      <c r="B68" t="str">
        <f>VLOOKUP(C68,'Project Status'!C:K,8,FALSE)</f>
        <v>Active</v>
      </c>
      <c r="C68" s="55">
        <v>21051</v>
      </c>
      <c r="D68" s="26" t="str">
        <f>VLOOKUP(C68,'Project Status'!C:G,5,FALSE)</f>
        <v>SOM Basic Sciences</v>
      </c>
      <c r="E68" t="str">
        <f>VLOOKUP(C68,'Project Status'!C:I,7,FALSE)</f>
        <v>MRBIII - 5th Floor Controls</v>
      </c>
      <c r="F68" s="248">
        <f>VLOOKUP(C68,'Project Status'!C:M,11,FALSE)</f>
        <v>0</v>
      </c>
      <c r="G68" s="249">
        <f>VLOOKUP(C68,'Project Status'!C:S,17,FALSE)</f>
        <v>0</v>
      </c>
      <c r="H68" s="250">
        <f>VLOOKUP(C68,'Project Status'!C:T,18,FALSE)</f>
        <v>0</v>
      </c>
      <c r="I68" s="254">
        <f>VLOOKUP(C68,'Project Status'!C:W,21,FALSE)</f>
        <v>0</v>
      </c>
    </row>
    <row r="69" spans="1:9" x14ac:dyDescent="0.4">
      <c r="A69" s="96">
        <f t="shared" si="0"/>
        <v>64</v>
      </c>
      <c r="B69" t="str">
        <f>VLOOKUP(C69,'Project Status'!C:K,8,FALSE)</f>
        <v>Active</v>
      </c>
      <c r="C69" s="55">
        <v>21066</v>
      </c>
      <c r="D69" s="26" t="str">
        <f>VLOOKUP(C69,'Project Status'!C:G,5,FALSE)</f>
        <v>Arts &amp; Science</v>
      </c>
      <c r="E69" t="str">
        <f>VLOOKUP(C69,'Project Status'!C:I,7,FALSE)</f>
        <v>SC2 - MEP Feasibility Study</v>
      </c>
      <c r="F69" s="248">
        <f>VLOOKUP(C69,'Project Status'!C:M,11,FALSE)</f>
        <v>0</v>
      </c>
      <c r="G69" s="249">
        <f>VLOOKUP(C69,'Project Status'!C:S,17,FALSE)</f>
        <v>0</v>
      </c>
      <c r="H69" s="250">
        <f>VLOOKUP(C69,'Project Status'!C:T,18,FALSE)</f>
        <v>0</v>
      </c>
      <c r="I69" s="254">
        <f>VLOOKUP(C69,'Project Status'!C:W,21,FALSE)</f>
        <v>0</v>
      </c>
    </row>
    <row r="70" spans="1:9" x14ac:dyDescent="0.4">
      <c r="A70" s="96">
        <f t="shared" si="0"/>
        <v>65</v>
      </c>
      <c r="B70" t="str">
        <f>VLOOKUP(C70,'Project Status'!C:K,8,FALSE)</f>
        <v>Active</v>
      </c>
      <c r="C70" s="55">
        <v>21067</v>
      </c>
      <c r="D70" s="26" t="str">
        <f>VLOOKUP(C70,'Project Status'!C:G,5,FALSE)</f>
        <v>Nursing</v>
      </c>
      <c r="E70" t="str">
        <f>VLOOKUP(C70,'Project Status'!C:I,7,FALSE)</f>
        <v>Godchaux Hall - Phase 2 HVAC Upgrades</v>
      </c>
      <c r="F70" s="248">
        <f>VLOOKUP(C70,'Project Status'!C:M,11,FALSE)</f>
        <v>0</v>
      </c>
      <c r="G70" s="249">
        <f>VLOOKUP(C70,'Project Status'!C:S,17,FALSE)</f>
        <v>0</v>
      </c>
      <c r="H70" s="250">
        <f>VLOOKUP(C70,'Project Status'!C:T,18,FALSE)</f>
        <v>0</v>
      </c>
      <c r="I70" s="254">
        <f>VLOOKUP(C70,'Project Status'!C:W,21,FALSE)</f>
        <v>0</v>
      </c>
    </row>
    <row r="71" spans="1:9" x14ac:dyDescent="0.4">
      <c r="A71" s="96">
        <f t="shared" si="0"/>
        <v>66</v>
      </c>
      <c r="B71" t="str">
        <f>VLOOKUP(C71,'Project Status'!C:K,8,FALSE)</f>
        <v>Active</v>
      </c>
      <c r="C71" s="55">
        <v>21068</v>
      </c>
      <c r="D71" s="26" t="str">
        <f>VLOOKUP(C71,'Project Status'!C:G,5,FALSE)</f>
        <v>Arts &amp; Science</v>
      </c>
      <c r="E71" t="str">
        <f>VLOOKUP(C71,'Project Status'!C:I,7,FALSE)</f>
        <v>Buttrick Hall - Insulate First Floor Slab</v>
      </c>
      <c r="F71" s="248">
        <f>VLOOKUP(C71,'Project Status'!C:M,11,FALSE)</f>
        <v>0</v>
      </c>
      <c r="G71" s="249">
        <f>VLOOKUP(C71,'Project Status'!C:S,17,FALSE)</f>
        <v>0</v>
      </c>
      <c r="H71" s="250">
        <f>VLOOKUP(C71,'Project Status'!C:T,18,FALSE)</f>
        <v>0</v>
      </c>
      <c r="I71" s="254">
        <f>VLOOKUP(C71,'Project Status'!C:W,21,FALSE)</f>
        <v>0</v>
      </c>
    </row>
    <row r="72" spans="1:9" x14ac:dyDescent="0.4">
      <c r="A72" s="96">
        <f t="shared" ref="A72:A82" si="1">A71+1</f>
        <v>67</v>
      </c>
      <c r="B72" t="str">
        <f>VLOOKUP(C72,'Project Status'!C:K,8,FALSE)</f>
        <v>Active</v>
      </c>
      <c r="C72" s="55">
        <v>21070</v>
      </c>
      <c r="D72" s="26" t="str">
        <f>VLOOKUP(C72,'Project Status'!C:G,5,FALSE)</f>
        <v>Engineering</v>
      </c>
      <c r="E72" t="str">
        <f>VLOOKUP(C72,'Project Status'!C:I,7,FALSE)</f>
        <v>Olin Hall - Exterior Facade Cleaning</v>
      </c>
      <c r="F72" s="248">
        <f>VLOOKUP(C72,'Project Status'!C:M,11,FALSE)</f>
        <v>0</v>
      </c>
      <c r="G72" s="249">
        <f>VLOOKUP(C72,'Project Status'!C:S,17,FALSE)</f>
        <v>0</v>
      </c>
      <c r="H72" s="250">
        <f>VLOOKUP(C72,'Project Status'!C:T,18,FALSE)</f>
        <v>0</v>
      </c>
      <c r="I72" s="254">
        <f>VLOOKUP(C72,'Project Status'!C:W,21,FALSE)</f>
        <v>0</v>
      </c>
    </row>
    <row r="73" spans="1:9" x14ac:dyDescent="0.4">
      <c r="A73" s="96">
        <f t="shared" si="1"/>
        <v>68</v>
      </c>
      <c r="B73" t="str">
        <f>VLOOKUP(C73,'Project Status'!C:K,8,FALSE)</f>
        <v>Active</v>
      </c>
      <c r="C73" s="55">
        <v>21071</v>
      </c>
      <c r="D73" s="26" t="str">
        <f>VLOOKUP(C73,'Project Status'!C:G,5,FALSE)</f>
        <v>Arts &amp; Science</v>
      </c>
      <c r="E73" t="str">
        <f>VLOOKUP(C73,'Project Status'!C:I,7,FALSE)</f>
        <v>SC1 - MEP Feasibility Study</v>
      </c>
      <c r="F73" s="248">
        <f>VLOOKUP(C73,'Project Status'!C:M,11,FALSE)</f>
        <v>0</v>
      </c>
      <c r="G73" s="249">
        <f>VLOOKUP(C73,'Project Status'!C:S,17,FALSE)</f>
        <v>0</v>
      </c>
      <c r="H73" s="250">
        <f>VLOOKUP(C73,'Project Status'!C:T,18,FALSE)</f>
        <v>0</v>
      </c>
      <c r="I73" s="254">
        <f>VLOOKUP(C73,'Project Status'!C:W,21,FALSE)</f>
        <v>0</v>
      </c>
    </row>
    <row r="74" spans="1:9" x14ac:dyDescent="0.4">
      <c r="A74" s="96">
        <f t="shared" si="1"/>
        <v>69</v>
      </c>
      <c r="B74" t="str">
        <f>VLOOKUP(C74,'Project Status'!C:K,8,FALSE)</f>
        <v>Active</v>
      </c>
      <c r="C74" s="55">
        <v>21072</v>
      </c>
      <c r="D74" s="26" t="str">
        <f>VLOOKUP(C74,'Project Status'!C:G,5,FALSE)</f>
        <v>Arts &amp; Science</v>
      </c>
      <c r="E74" t="str">
        <f>VLOOKUP(C74,'Project Status'!C:I,7,FALSE)</f>
        <v>Calhoun Hall - MEP Feasibility Study</v>
      </c>
      <c r="F74" s="248">
        <f>VLOOKUP(C74,'Project Status'!C:M,11,FALSE)</f>
        <v>0</v>
      </c>
      <c r="G74" s="249">
        <f>VLOOKUP(C74,'Project Status'!C:S,17,FALSE)</f>
        <v>0</v>
      </c>
      <c r="H74" s="250">
        <f>VLOOKUP(C74,'Project Status'!C:T,18,FALSE)</f>
        <v>0</v>
      </c>
      <c r="I74" s="254">
        <f>VLOOKUP(C74,'Project Status'!C:W,21,FALSE)</f>
        <v>0</v>
      </c>
    </row>
    <row r="75" spans="1:9" x14ac:dyDescent="0.4">
      <c r="A75" s="96">
        <f t="shared" si="1"/>
        <v>70</v>
      </c>
      <c r="B75" t="str">
        <f>VLOOKUP(C75,'Project Status'!C:K,8,FALSE)</f>
        <v>Active</v>
      </c>
      <c r="C75" s="55">
        <v>21073</v>
      </c>
      <c r="D75" s="26" t="str">
        <f>VLOOKUP(C75,'Project Status'!C:G,5,FALSE)</f>
        <v>Arts &amp; Science</v>
      </c>
      <c r="E75" t="str">
        <f>VLOOKUP(C75,'Project Status'!C:I,7,FALSE)</f>
        <v>Furman Hall - MEP Feasibility Study</v>
      </c>
      <c r="F75" s="248">
        <f>VLOOKUP(C75,'Project Status'!C:M,11,FALSE)</f>
        <v>0</v>
      </c>
      <c r="G75" s="249">
        <f>VLOOKUP(C75,'Project Status'!C:S,17,FALSE)</f>
        <v>0</v>
      </c>
      <c r="H75" s="250">
        <f>VLOOKUP(C75,'Project Status'!C:T,18,FALSE)</f>
        <v>0</v>
      </c>
      <c r="I75" s="254">
        <f>VLOOKUP(C75,'Project Status'!C:W,21,FALSE)</f>
        <v>0</v>
      </c>
    </row>
    <row r="76" spans="1:9" x14ac:dyDescent="0.4">
      <c r="A76" s="96">
        <f t="shared" si="1"/>
        <v>71</v>
      </c>
      <c r="B76" t="str">
        <f>VLOOKUP(C76,'Project Status'!C:K,8,FALSE)</f>
        <v>Active</v>
      </c>
      <c r="C76" s="55">
        <v>21074</v>
      </c>
      <c r="D76" s="26" t="str">
        <f>VLOOKUP(C76,'Project Status'!C:G,5,FALSE)</f>
        <v>Law</v>
      </c>
      <c r="E76" t="str">
        <f>VLOOKUP(C76,'Project Status'!C:I,7,FALSE)</f>
        <v>Law School - MEP Feasibility Study</v>
      </c>
      <c r="F76" s="248">
        <f>VLOOKUP(C76,'Project Status'!C:M,11,FALSE)</f>
        <v>0</v>
      </c>
      <c r="G76" s="249">
        <f>VLOOKUP(C76,'Project Status'!C:S,17,FALSE)</f>
        <v>0</v>
      </c>
      <c r="H76" s="250">
        <f>VLOOKUP(C76,'Project Status'!C:T,18,FALSE)</f>
        <v>0</v>
      </c>
      <c r="I76" s="254">
        <f>VLOOKUP(C76,'Project Status'!C:W,21,FALSE)</f>
        <v>0</v>
      </c>
    </row>
    <row r="77" spans="1:9" x14ac:dyDescent="0.4">
      <c r="A77" s="96">
        <f t="shared" si="1"/>
        <v>72</v>
      </c>
      <c r="B77" t="str">
        <f>VLOOKUP(C77,'Project Status'!C:K,8,FALSE)</f>
        <v>Active</v>
      </c>
      <c r="C77" s="55">
        <v>21076</v>
      </c>
      <c r="D77" s="26" t="e">
        <f>VLOOKUP(C77,'Project Status'!C:G,5,FALSE)</f>
        <v>#N/A</v>
      </c>
      <c r="E77" t="str">
        <f>VLOOKUP(C77,'Project Status'!C:I,7,FALSE)</f>
        <v>2500 Kensington Place - Sewer Line Replacement</v>
      </c>
      <c r="F77" s="248">
        <f>VLOOKUP(C77,'Project Status'!C:M,11,FALSE)</f>
        <v>0</v>
      </c>
      <c r="G77" s="249">
        <f>VLOOKUP(C77,'Project Status'!C:S,17,FALSE)</f>
        <v>0</v>
      </c>
      <c r="H77" s="250">
        <f>VLOOKUP(C77,'Project Status'!C:T,18,FALSE)</f>
        <v>0</v>
      </c>
      <c r="I77" s="254">
        <f>VLOOKUP(C77,'Project Status'!C:W,21,FALSE)</f>
        <v>0</v>
      </c>
    </row>
    <row r="78" spans="1:9" x14ac:dyDescent="0.4">
      <c r="A78" s="96">
        <f t="shared" si="1"/>
        <v>73</v>
      </c>
      <c r="B78" t="str">
        <f>VLOOKUP(C78,'Project Status'!C:K,8,FALSE)</f>
        <v>Active</v>
      </c>
      <c r="C78" s="55">
        <v>21094</v>
      </c>
      <c r="D78" s="26" t="str">
        <f>VLOOKUP(C78,'Project Status'!C:G,5,FALSE)</f>
        <v>Nursing</v>
      </c>
      <c r="E78" t="str">
        <f>VLOOKUP(C78,'Project Status'!C:I,7,FALSE)</f>
        <v>Godchaux Hall - Replace Fire Pump</v>
      </c>
      <c r="F78" s="248">
        <f>VLOOKUP(C78,'Project Status'!C:M,11,FALSE)</f>
        <v>0</v>
      </c>
      <c r="G78" s="249">
        <f>VLOOKUP(C78,'Project Status'!C:S,17,FALSE)</f>
        <v>0</v>
      </c>
      <c r="H78" s="250">
        <f>VLOOKUP(C78,'Project Status'!C:T,18,FALSE)</f>
        <v>0</v>
      </c>
      <c r="I78" s="254">
        <f>VLOOKUP(C78,'Project Status'!C:W,21,FALSE)</f>
        <v>0</v>
      </c>
    </row>
    <row r="79" spans="1:9" x14ac:dyDescent="0.4">
      <c r="A79" s="96">
        <f t="shared" si="1"/>
        <v>74</v>
      </c>
      <c r="B79" t="str">
        <f>VLOOKUP(C79,'Project Status'!C:K,8,FALSE)</f>
        <v>Active</v>
      </c>
      <c r="C79" s="55">
        <v>21107</v>
      </c>
      <c r="D79" s="26" t="str">
        <f>VLOOKUP(C79,'Project Status'!C:G,5,FALSE)</f>
        <v>Blair</v>
      </c>
      <c r="E79" t="str">
        <f>VLOOKUP(C79,'Project Status'!C:I,7,FALSE)</f>
        <v>Blair School of Music - Locker Replacement</v>
      </c>
      <c r="F79" s="248">
        <f>VLOOKUP(C79,'Project Status'!C:M,11,FALSE)</f>
        <v>0</v>
      </c>
      <c r="G79" s="249">
        <f>VLOOKUP(C79,'Project Status'!C:S,17,FALSE)</f>
        <v>0</v>
      </c>
      <c r="H79" s="250">
        <f>VLOOKUP(C79,'Project Status'!C:T,18,FALSE)</f>
        <v>0</v>
      </c>
      <c r="I79" s="254">
        <f>VLOOKUP(C79,'Project Status'!C:W,21,FALSE)</f>
        <v>0</v>
      </c>
    </row>
    <row r="80" spans="1:9" x14ac:dyDescent="0.4">
      <c r="A80" s="96">
        <f t="shared" si="1"/>
        <v>75</v>
      </c>
      <c r="B80" t="str">
        <f>VLOOKUP(C80,'Project Status'!C:K,8,FALSE)</f>
        <v>Active</v>
      </c>
      <c r="C80" s="55">
        <v>21108</v>
      </c>
      <c r="D80" s="26" t="str">
        <f>VLOOKUP(C80,'Project Status'!C:G,5,FALSE)</f>
        <v>Engineering</v>
      </c>
      <c r="E80" t="str">
        <f>VLOOKUP(C80,'Project Status'!C:I,7,FALSE)</f>
        <v>1025 16th Avenue - Electrical and HVAC Study</v>
      </c>
      <c r="F80" s="248">
        <f>VLOOKUP(C80,'Project Status'!C:M,11,FALSE)</f>
        <v>5000</v>
      </c>
      <c r="G80" s="249">
        <f>VLOOKUP(C80,'Project Status'!C:S,17,FALSE)</f>
        <v>0</v>
      </c>
      <c r="H80" s="250">
        <f>VLOOKUP(C80,'Project Status'!C:T,18,FALSE)</f>
        <v>0</v>
      </c>
      <c r="I80" s="254">
        <f>VLOOKUP(C80,'Project Status'!C:W,21,FALSE)</f>
        <v>0</v>
      </c>
    </row>
    <row r="81" spans="1:9" x14ac:dyDescent="0.4">
      <c r="A81" s="96">
        <f t="shared" si="1"/>
        <v>76</v>
      </c>
      <c r="B81" t="str">
        <f>VLOOKUP(C81,'Project Status'!C:K,8,FALSE)</f>
        <v>Active</v>
      </c>
      <c r="C81" s="55">
        <v>21113</v>
      </c>
      <c r="D81" s="26" t="str">
        <f>VLOOKUP(C81,'Project Status'!C:G,5,FALSE)</f>
        <v>SOM Basic Sciences</v>
      </c>
      <c r="E81" t="str">
        <f>VLOOKUP(C81,'Project Status'!C:I,7,FALSE)</f>
        <v>MRBIII - Lecture Hall V1220 Lighting Upgrade</v>
      </c>
      <c r="F81" s="248">
        <f>VLOOKUP(C81,'Project Status'!C:M,11,FALSE)</f>
        <v>0</v>
      </c>
      <c r="G81" s="249">
        <f>VLOOKUP(C81,'Project Status'!C:S,17,FALSE)</f>
        <v>0</v>
      </c>
      <c r="H81" s="250">
        <f>VLOOKUP(C81,'Project Status'!C:T,18,FALSE)</f>
        <v>0</v>
      </c>
      <c r="I81" s="254">
        <f>VLOOKUP(C81,'Project Status'!C:W,21,FALSE)</f>
        <v>0</v>
      </c>
    </row>
    <row r="82" spans="1:9" x14ac:dyDescent="0.4">
      <c r="A82" s="96">
        <f t="shared" si="1"/>
        <v>77</v>
      </c>
      <c r="B82" t="str">
        <f>VLOOKUP(C82,'Project Status'!C:K,8,FALSE)</f>
        <v>Active</v>
      </c>
      <c r="C82" s="55">
        <v>21114</v>
      </c>
      <c r="D82" s="26" t="str">
        <f>VLOOKUP(C82,'Project Status'!C:G,5,FALSE)</f>
        <v>SOM Basic Sciences</v>
      </c>
      <c r="E82" t="str">
        <f>VLOOKUP(C82,'Project Status'!C:I,7,FALSE)</f>
        <v>MRBIII - Chemical Discharge Tank Replacement</v>
      </c>
      <c r="F82" s="248">
        <f>VLOOKUP(C82,'Project Status'!C:M,11,FALSE)</f>
        <v>0</v>
      </c>
      <c r="G82" s="249">
        <f>VLOOKUP(C82,'Project Status'!C:S,17,FALSE)</f>
        <v>0</v>
      </c>
      <c r="H82" s="250">
        <f>VLOOKUP(C82,'Project Status'!C:T,18,FALSE)</f>
        <v>0</v>
      </c>
      <c r="I82" s="254">
        <f>VLOOKUP(C82,'Project Status'!C:W,21,FALSE)</f>
        <v>0</v>
      </c>
    </row>
    <row r="83" spans="1:9" s="20" customFormat="1" x14ac:dyDescent="0.4">
      <c r="B83"/>
      <c r="F83" s="116">
        <f>SUM(F6:F82)</f>
        <v>41255601.759999998</v>
      </c>
      <c r="G83" s="72">
        <f t="shared" ref="G83:I83" si="2">SUM(G6:G82)</f>
        <v>8797286.2599999998</v>
      </c>
      <c r="H83" s="73">
        <f t="shared" si="2"/>
        <v>11427472.939999999</v>
      </c>
      <c r="I83" s="252">
        <f t="shared" si="2"/>
        <v>9182021.7800000012</v>
      </c>
    </row>
    <row r="84" spans="1:9" s="20" customFormat="1" x14ac:dyDescent="0.4">
      <c r="B84"/>
      <c r="F84" s="66"/>
      <c r="G84" s="66"/>
      <c r="H84" s="66"/>
      <c r="I84" s="66"/>
    </row>
  </sheetData>
  <sortState xmlns:xlrd2="http://schemas.microsoft.com/office/spreadsheetml/2017/richdata2" ref="B6:G27">
    <sortCondition ref="B6:B27"/>
    <sortCondition ref="D6:D27"/>
  </sortState>
  <pageMargins left="0.7" right="0.7" top="0.75" bottom="0.75" header="0.3" footer="0.3"/>
  <pageSetup scale="75" fitToHeight="0" orientation="landscape"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22EE-F30F-4805-ABE6-0899D66A2DAE}">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07421875" bestFit="1" customWidth="1"/>
    <col min="5" max="5" width="36.53515625" bestFit="1" customWidth="1"/>
    <col min="6" max="6" width="6.69140625" bestFit="1" customWidth="1"/>
    <col min="7" max="7" width="12.3046875" bestFit="1" customWidth="1"/>
    <col min="8" max="8" width="16.53515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20701</v>
      </c>
      <c r="B4" s="11">
        <f>VLOOKUP(A4,'Project Status'!C:D,2,FALSE)</f>
        <v>4399</v>
      </c>
      <c r="C4" s="11" t="str">
        <f>VLOOKUP(A4,'Project Status'!C:E,3,FALSE)</f>
        <v>CP_400198</v>
      </c>
      <c r="D4" s="11" t="str">
        <f>VLOOKUP(A4,'Project Status'!C:F,4,FALSE)</f>
        <v>12000 - Arts and Science: Office of the Dean</v>
      </c>
      <c r="E4" s="11" t="str">
        <f>VLOOKUP(A4,'Project Status'!C:I,7,FALSE)</f>
        <v>SC-5 - Chemical Discharge Replacement</v>
      </c>
      <c r="F4" s="11" t="str">
        <f>VLOOKUP(A4,'Project Status'!C:K,8,FALSE)</f>
        <v>Active</v>
      </c>
      <c r="G4" s="11" t="str">
        <f>VLOOKUP(A4,'Project Status'!C:L,9,FALSE)</f>
        <v>Construction</v>
      </c>
      <c r="H4" s="89">
        <f>VLOOKUP(A4,'Project Status'!C:N,11,FALSE)</f>
        <v>500000</v>
      </c>
    </row>
    <row r="8" spans="1:11" x14ac:dyDescent="0.4">
      <c r="E8" s="41" t="s">
        <v>124</v>
      </c>
    </row>
    <row r="9" spans="1:11" x14ac:dyDescent="0.4">
      <c r="E9" s="22" t="s">
        <v>264</v>
      </c>
      <c r="F9" s="33" t="s">
        <v>139</v>
      </c>
      <c r="H9" s="98">
        <v>499093</v>
      </c>
    </row>
    <row r="10" spans="1:11" x14ac:dyDescent="0.4">
      <c r="E10" s="22"/>
      <c r="H10" s="42"/>
    </row>
    <row r="18" spans="5:8" x14ac:dyDescent="0.4">
      <c r="E18" s="136" t="s">
        <v>263</v>
      </c>
      <c r="F18" s="137"/>
      <c r="G18" s="136"/>
      <c r="H18" s="138">
        <f>SUM(H9:H17)</f>
        <v>499093</v>
      </c>
    </row>
    <row r="20" spans="5:8" x14ac:dyDescent="0.4">
      <c r="E20" s="139" t="s">
        <v>136</v>
      </c>
      <c r="F20" s="139"/>
      <c r="G20" s="139"/>
      <c r="H20" s="140">
        <f>H4-H18</f>
        <v>907</v>
      </c>
    </row>
  </sheetData>
  <hyperlinks>
    <hyperlink ref="K1" location="'Project Status'!A1" display="'Project Status'!A1" xr:uid="{9E262A90-B31F-4C48-BD8B-B68FC8054AFA}"/>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5.53515625" bestFit="1" customWidth="1"/>
    <col min="3" max="3" width="11" bestFit="1" customWidth="1"/>
    <col min="4" max="4" width="40.53515625" bestFit="1" customWidth="1"/>
    <col min="5" max="5" width="38.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20702</v>
      </c>
      <c r="B4" s="11">
        <f>VLOOKUP(A4,'Project Status'!C:D,2,FALSE)</f>
        <v>8432</v>
      </c>
      <c r="C4" s="11" t="str">
        <f>VLOOKUP(A4,'Project Status'!C:E,3,FALSE)</f>
        <v>CP_400165</v>
      </c>
      <c r="D4" s="11" t="str">
        <f>VLOOKUP(A4,'Project Status'!C:F,4,FALSE)</f>
        <v>21000 - Peabody College: Office of the Dean</v>
      </c>
      <c r="E4" s="11" t="str">
        <f>VLOOKUP(A4,'Project Status'!C:I,7,FALSE)</f>
        <v>Wyatt Center - Elevator #2 Modernization</v>
      </c>
      <c r="F4" s="11" t="str">
        <f>VLOOKUP(A4,'Project Status'!C:K,8,FALSE)</f>
        <v>Complete</v>
      </c>
      <c r="G4" s="11" t="str">
        <f>VLOOKUP(A4,'Project Status'!C:L,9,FALSE)</f>
        <v>Finalized</v>
      </c>
      <c r="H4" s="89">
        <f>VLOOKUP(A4,'Project Status'!C:N,11,FALSE)</f>
        <v>225791</v>
      </c>
      <c r="I4" s="173">
        <f>VLOOKUP(B4,'Project Status'!D:O,11,FALSE)</f>
        <v>239341</v>
      </c>
    </row>
    <row r="8" spans="1:11" x14ac:dyDescent="0.4">
      <c r="E8" s="41" t="s">
        <v>124</v>
      </c>
    </row>
    <row r="9" spans="1:11" x14ac:dyDescent="0.4">
      <c r="E9" s="22" t="s">
        <v>214</v>
      </c>
      <c r="F9" s="33" t="s">
        <v>139</v>
      </c>
      <c r="H9" s="42">
        <v>13550</v>
      </c>
    </row>
    <row r="10" spans="1:11" x14ac:dyDescent="0.4">
      <c r="E10" s="22" t="s">
        <v>230</v>
      </c>
      <c r="F10" t="s">
        <v>213</v>
      </c>
      <c r="H10" s="42">
        <v>225791</v>
      </c>
    </row>
    <row r="11" spans="1:11" x14ac:dyDescent="0.4">
      <c r="E11" s="22" t="s">
        <v>367</v>
      </c>
      <c r="F11" t="s">
        <v>379</v>
      </c>
      <c r="H11" s="42">
        <v>-29922</v>
      </c>
    </row>
    <row r="18" spans="5:8" x14ac:dyDescent="0.4">
      <c r="E18" s="136" t="s">
        <v>263</v>
      </c>
      <c r="F18" s="137"/>
      <c r="G18" s="136"/>
      <c r="H18" s="138">
        <f>SUM(H9:H17)</f>
        <v>209419</v>
      </c>
    </row>
    <row r="20" spans="5:8" x14ac:dyDescent="0.4">
      <c r="E20" s="139" t="s">
        <v>136</v>
      </c>
      <c r="F20" s="139"/>
      <c r="G20" s="139"/>
      <c r="H20" s="140">
        <f>I4-H18</f>
        <v>29922</v>
      </c>
    </row>
  </sheetData>
  <hyperlinks>
    <hyperlink ref="K1" location="'Project Status'!A1" display="'Project Status'!A1" xr:uid="{2FC6B3AC-6ED8-47FB-9F2B-DB62EB3B1C7C}"/>
  </hyperlinks>
  <pageMargins left="0.7" right="0.7" top="0.75" bottom="0.75" header="0.3" footer="0.3"/>
  <pageSetup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39D3-9962-49A5-8528-110A080E1E4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07421875" bestFit="1" customWidth="1"/>
    <col min="5" max="5" width="43.3046875" bestFit="1" customWidth="1"/>
    <col min="6" max="6" width="30.53515625" bestFit="1" customWidth="1"/>
    <col min="7" max="7" width="8.84375" bestFit="1" customWidth="1"/>
    <col min="8" max="8" width="16.53515625" bestFit="1" customWidth="1"/>
    <col min="9" max="9" width="13.304687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20718</v>
      </c>
      <c r="B4" s="11">
        <f>VLOOKUP(A4,'Project Status'!C:D,2,FALSE)</f>
        <v>8608</v>
      </c>
      <c r="C4" s="11" t="str">
        <f>VLOOKUP(A4,'Project Status'!C:E,3,FALSE)</f>
        <v>CP_400174</v>
      </c>
      <c r="D4" s="11" t="str">
        <f>VLOOKUP(A4,'Project Status'!C:F,4,FALSE)</f>
        <v>12000 - Arts and Science: Office of the Dean</v>
      </c>
      <c r="E4" s="11" t="str">
        <f>VLOOKUP(A4,'Project Status'!C:I,7,FALSE)</f>
        <v>Buttrick Hall - 3rd Floor Inequality Renovations</v>
      </c>
      <c r="F4" s="11" t="str">
        <f>VLOOKUP(A4,'Project Status'!C:K,8,FALSE)</f>
        <v>Complete</v>
      </c>
      <c r="G4" s="11" t="str">
        <f>VLOOKUP(A4,'Project Status'!C:L,9,FALSE)</f>
        <v>Finalized</v>
      </c>
      <c r="H4" s="89">
        <f>VLOOKUP(A4,'Project Status'!C:N,11,FALSE)</f>
        <v>715000</v>
      </c>
      <c r="I4" s="173">
        <f>VLOOKUP(B4,'Project Status'!D:O,11,FALSE)</f>
        <v>715000</v>
      </c>
    </row>
    <row r="8" spans="1:11" x14ac:dyDescent="0.4">
      <c r="E8" s="41" t="s">
        <v>124</v>
      </c>
    </row>
    <row r="9" spans="1:11" x14ac:dyDescent="0.4">
      <c r="E9" s="22" t="s">
        <v>275</v>
      </c>
      <c r="F9" s="33" t="s">
        <v>274</v>
      </c>
      <c r="H9" s="42">
        <v>96166</v>
      </c>
    </row>
    <row r="10" spans="1:11" x14ac:dyDescent="0.4">
      <c r="E10" s="22"/>
      <c r="F10" s="20" t="s">
        <v>277</v>
      </c>
      <c r="H10" s="42"/>
    </row>
    <row r="11" spans="1:11" x14ac:dyDescent="0.4">
      <c r="E11" s="32" t="s">
        <v>279</v>
      </c>
      <c r="H11" s="97">
        <f>715000-96166</f>
        <v>618834</v>
      </c>
    </row>
    <row r="13" spans="1:11" x14ac:dyDescent="0.4">
      <c r="H13" s="44">
        <f>SUM(H9:H11)</f>
        <v>715000</v>
      </c>
    </row>
    <row r="18" spans="5:8" x14ac:dyDescent="0.4">
      <c r="E18" s="136" t="s">
        <v>263</v>
      </c>
      <c r="F18" s="137"/>
      <c r="G18" s="136"/>
      <c r="H18" s="138">
        <f>H9</f>
        <v>96166</v>
      </c>
    </row>
    <row r="20" spans="5:8" x14ac:dyDescent="0.4">
      <c r="E20" s="139" t="s">
        <v>136</v>
      </c>
      <c r="F20" s="139"/>
      <c r="G20" s="139"/>
      <c r="H20" s="140">
        <f>H4-H13</f>
        <v>0</v>
      </c>
    </row>
  </sheetData>
  <hyperlinks>
    <hyperlink ref="K1" location="'Project Status'!A1" display="'Project Status'!A1" xr:uid="{541B30AA-96EE-402C-BCCD-62B014152731}"/>
  </hyperlinks>
  <pageMargins left="0.7" right="0.7" top="0.75" bottom="0.75" header="0.3" footer="0.3"/>
  <pageSetup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BC0-638E-4F8A-ADCC-2DF5A65FA44D}">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046875" bestFit="1" customWidth="1"/>
    <col min="5" max="5" width="56.07421875" bestFit="1" customWidth="1"/>
    <col min="6" max="6" width="7" bestFit="1" customWidth="1"/>
    <col min="7" max="7" width="13.3046875" bestFit="1" customWidth="1"/>
    <col min="8" max="8" width="16.5351562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20723</v>
      </c>
      <c r="B4" s="11">
        <f>VLOOKUP(A4,'Project Status'!C:D,2,FALSE)</f>
        <v>1628</v>
      </c>
      <c r="C4" s="11" t="str">
        <f>VLOOKUP(A4,'Project Status'!C:E,3,FALSE)</f>
        <v>CP_400187</v>
      </c>
      <c r="D4" s="11" t="str">
        <f>VLOOKUP(A4,'Project Status'!C:F,4,FALSE)</f>
        <v>18200 - Basic Sciences: Office of the Dean</v>
      </c>
      <c r="E4" s="11" t="str">
        <f>VLOOKUP(A4,'Project Status'!C:I,7,FALSE)</f>
        <v>MRB III - 9th Floor (with 4 ,5 &amp; 8) - Replace Controls (Phase 3)</v>
      </c>
      <c r="F4" s="11" t="str">
        <f>VLOOKUP(A4,'Project Status'!C:K,8,FALSE)</f>
        <v>Active</v>
      </c>
      <c r="G4" s="11" t="str">
        <f>VLOOKUP(A4,'Project Status'!C:L,9,FALSE)</f>
        <v>Award</v>
      </c>
      <c r="H4" s="89">
        <f>VLOOKUP(A4,'Project Status'!C:N,11,FALSE)</f>
        <v>1610000</v>
      </c>
    </row>
    <row r="8" spans="1:11" x14ac:dyDescent="0.4">
      <c r="E8" s="41" t="s">
        <v>124</v>
      </c>
    </row>
    <row r="9" spans="1:11" x14ac:dyDescent="0.4">
      <c r="E9" s="22" t="s">
        <v>248</v>
      </c>
      <c r="F9" s="33"/>
      <c r="H9" s="42">
        <v>24500</v>
      </c>
    </row>
    <row r="10" spans="1:11" x14ac:dyDescent="0.4">
      <c r="E10" s="22" t="s">
        <v>264</v>
      </c>
      <c r="H10" s="42">
        <v>136000</v>
      </c>
    </row>
    <row r="11" spans="1:11" x14ac:dyDescent="0.4">
      <c r="E11" s="22" t="s">
        <v>445</v>
      </c>
      <c r="H11" s="43">
        <f>1700000-H10-H9</f>
        <v>1539500</v>
      </c>
    </row>
    <row r="18" spans="5:8" x14ac:dyDescent="0.4">
      <c r="E18" s="136" t="s">
        <v>263</v>
      </c>
      <c r="F18" s="137"/>
      <c r="G18" s="136"/>
      <c r="H18" s="138">
        <f>SUM(H9:H17)</f>
        <v>1700000</v>
      </c>
    </row>
    <row r="20" spans="5:8" x14ac:dyDescent="0.4">
      <c r="E20" s="139" t="s">
        <v>136</v>
      </c>
      <c r="F20" s="139"/>
      <c r="G20" s="139"/>
      <c r="H20" s="140">
        <f>H4-H18</f>
        <v>-90000</v>
      </c>
    </row>
  </sheetData>
  <hyperlinks>
    <hyperlink ref="K1" location="'Project Status'!A1" display="'Project Status'!A1" xr:uid="{128B9945-69C0-4655-8F8F-40479B01E1EA}"/>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4BCB-5185-4C39-8B51-1BC498DCD04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31.3046875" bestFit="1" customWidth="1"/>
    <col min="6" max="6" width="12.3046875" bestFit="1" customWidth="1"/>
    <col min="7" max="7" width="11" bestFit="1" customWidth="1"/>
    <col min="8" max="8" width="16.5351562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20724</v>
      </c>
      <c r="B4" s="11">
        <f>VLOOKUP(A4,'Project Status'!C:D,2,FALSE)</f>
        <v>8557</v>
      </c>
      <c r="C4" s="11" t="str">
        <f>VLOOKUP(A4,'Project Status'!C:E,3,FALSE)</f>
        <v>CP_400178</v>
      </c>
      <c r="D4" s="11" t="str">
        <f>VLOOKUP(A4,'Project Status'!C:F,4,FALSE)</f>
        <v>13000 - Blair: Office of the Dean</v>
      </c>
      <c r="E4" s="11" t="str">
        <f>VLOOKUP(A4,'Project Status'!C:I,7,FALSE)</f>
        <v>Blair School of Music - Steam Line - FY 23</v>
      </c>
      <c r="F4" s="11" t="str">
        <f>VLOOKUP(A4,'Project Status'!C:K,8,FALSE)</f>
        <v>Active</v>
      </c>
      <c r="G4" s="11" t="str">
        <f>VLOOKUP(A4,'Project Status'!C:L,9,FALSE)</f>
        <v>Warranty or Construction Closeout</v>
      </c>
      <c r="H4" s="89">
        <f>VLOOKUP(A4,'Project Status'!C:N,11,FALSE)</f>
        <v>1987500</v>
      </c>
    </row>
    <row r="8" spans="1:11" x14ac:dyDescent="0.4">
      <c r="E8" s="41" t="s">
        <v>124</v>
      </c>
    </row>
    <row r="9" spans="1:11" x14ac:dyDescent="0.4">
      <c r="E9" t="s">
        <v>237</v>
      </c>
      <c r="F9" t="s">
        <v>139</v>
      </c>
      <c r="H9" s="42">
        <v>23400</v>
      </c>
    </row>
    <row r="10" spans="1:11" x14ac:dyDescent="0.4">
      <c r="E10" t="s">
        <v>349</v>
      </c>
      <c r="F10" t="s">
        <v>213</v>
      </c>
      <c r="H10" s="42">
        <v>1964100</v>
      </c>
    </row>
    <row r="12" spans="1:11" x14ac:dyDescent="0.4">
      <c r="F12" s="10"/>
      <c r="G12" s="10"/>
      <c r="H12" s="45"/>
    </row>
    <row r="18" spans="5:8" x14ac:dyDescent="0.4">
      <c r="E18" s="136" t="s">
        <v>263</v>
      </c>
      <c r="F18" s="137"/>
      <c r="G18" s="136"/>
      <c r="H18" s="138">
        <f>SUM(H9:H17)</f>
        <v>1987500</v>
      </c>
    </row>
    <row r="20" spans="5:8" x14ac:dyDescent="0.4">
      <c r="E20" s="139" t="s">
        <v>136</v>
      </c>
      <c r="F20" s="139"/>
      <c r="G20" s="139"/>
      <c r="H20" s="140">
        <f>H4-H18</f>
        <v>0</v>
      </c>
    </row>
  </sheetData>
  <hyperlinks>
    <hyperlink ref="K1" location="'Project Status'!A1" display="'Project Status'!A1" xr:uid="{8E337751-EDF1-4608-B301-35648AFC4573}"/>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D17C-4074-4FF4-8E38-15D4DF4E220C}">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20735</v>
      </c>
      <c r="B4" s="11">
        <f>VLOOKUP(A4,'Project Status'!C:D,2,FALSE)</f>
        <v>8226</v>
      </c>
      <c r="C4" s="11">
        <f>VLOOKUP(A4,'Project Status'!C:E,3,FALSE)</f>
        <v>0</v>
      </c>
      <c r="D4" s="11" t="str">
        <f>VLOOKUP(A4,'Project Status'!C:F,4,FALSE)</f>
        <v>20000 - Owen: Office of the Dean</v>
      </c>
      <c r="E4" s="11" t="str">
        <f>VLOOKUP(A4,'Project Status'!C:I,7,FALSE)</f>
        <v>Owen - Roof Replacement (Third Level)</v>
      </c>
      <c r="F4" s="11" t="str">
        <f>VLOOKUP(A4,'Project Status'!C:K,8,FALSE)</f>
        <v>Complete</v>
      </c>
      <c r="G4" s="11" t="str">
        <f>VLOOKUP(A4,'Project Status'!C:L,9,FALSE)</f>
        <v>Finalized</v>
      </c>
      <c r="H4" s="89">
        <f>VLOOKUP(A4,'Project Status'!C:N,11,FALSE)</f>
        <v>300000</v>
      </c>
      <c r="I4" s="173">
        <f>VLOOKUP(B4,'Project Status'!D:O,11,FALSE)</f>
        <v>300000</v>
      </c>
    </row>
    <row r="8" spans="1:11" x14ac:dyDescent="0.4">
      <c r="E8" s="41" t="s">
        <v>124</v>
      </c>
    </row>
    <row r="9" spans="1:11" x14ac:dyDescent="0.4">
      <c r="E9" s="22" t="s">
        <v>270</v>
      </c>
      <c r="F9" t="s">
        <v>139</v>
      </c>
      <c r="H9" s="42">
        <v>300000</v>
      </c>
    </row>
    <row r="10" spans="1:11" x14ac:dyDescent="0.4">
      <c r="E10" s="22" t="s">
        <v>405</v>
      </c>
      <c r="F10" t="s">
        <v>300</v>
      </c>
      <c r="H10" s="42">
        <v>-23500</v>
      </c>
    </row>
    <row r="12" spans="1:11" x14ac:dyDescent="0.4">
      <c r="F12" s="10"/>
      <c r="G12" s="10"/>
      <c r="H12" s="45"/>
    </row>
    <row r="18" spans="5:8" x14ac:dyDescent="0.4">
      <c r="E18" s="136" t="s">
        <v>263</v>
      </c>
      <c r="F18" s="137"/>
      <c r="G18" s="136"/>
      <c r="H18" s="138">
        <f>SUM(H9:H17)</f>
        <v>276500</v>
      </c>
    </row>
    <row r="20" spans="5:8" x14ac:dyDescent="0.4">
      <c r="E20" s="139" t="s">
        <v>136</v>
      </c>
      <c r="F20" s="139"/>
      <c r="G20" s="139"/>
      <c r="H20" s="140">
        <f>I4-H18</f>
        <v>23500</v>
      </c>
    </row>
  </sheetData>
  <hyperlinks>
    <hyperlink ref="K1" location="'Project Status'!A1" display="'Project Status'!A1" xr:uid="{A4399369-1559-421B-AF40-A08546DD82BC}"/>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BC99-153A-439B-9AB0-E71952119B85}">
  <sheetPr>
    <tabColor rgb="FFFFFF93"/>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32.304687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20767</v>
      </c>
      <c r="B4" s="11">
        <f>VLOOKUP(A4,'Project Status'!C:D,2,FALSE)</f>
        <v>8673</v>
      </c>
      <c r="C4" s="11" t="str">
        <f>VLOOKUP(A4,'Project Status'!C:E,3,FALSE)</f>
        <v>CP_400242</v>
      </c>
      <c r="D4" s="11" t="str">
        <f>VLOOKUP(A4,'Project Status'!C:F,4,FALSE)</f>
        <v>21000 - Peabody College: Office of the Dean</v>
      </c>
      <c r="E4" s="11" t="str">
        <f>VLOOKUP(A4,'Project Status'!C:I,7,FALSE)</f>
        <v>Six Magnolia Circle - Foundation Repairs</v>
      </c>
      <c r="F4" s="11" t="str">
        <f>VLOOKUP(A4,'Project Status'!C:K,8,FALSE)</f>
        <v>Active</v>
      </c>
      <c r="G4" s="11" t="str">
        <f>VLOOKUP(A4,'Project Status'!C:L,9,FALSE)</f>
        <v>Warranty or Construction Closeout</v>
      </c>
      <c r="H4" s="89">
        <f>VLOOKUP(A4,'Project Status'!C:N,11,FALSE)</f>
        <v>149000</v>
      </c>
      <c r="I4" s="173">
        <f>VLOOKUP(B4,'Project Status'!D:O,11,FALSE)</f>
        <v>148299</v>
      </c>
    </row>
    <row r="8" spans="1:11" x14ac:dyDescent="0.4">
      <c r="E8" s="41" t="s">
        <v>124</v>
      </c>
    </row>
    <row r="9" spans="1:11" x14ac:dyDescent="0.4">
      <c r="E9" s="22" t="s">
        <v>384</v>
      </c>
      <c r="F9" t="s">
        <v>139</v>
      </c>
      <c r="H9" s="42">
        <v>148299</v>
      </c>
    </row>
    <row r="10" spans="1:11" x14ac:dyDescent="0.4">
      <c r="E10" s="22"/>
    </row>
    <row r="12" spans="1:11" x14ac:dyDescent="0.4">
      <c r="F12" s="10"/>
      <c r="G12" s="10"/>
      <c r="H12" s="45"/>
    </row>
    <row r="18" spans="5:8" x14ac:dyDescent="0.4">
      <c r="E18" s="136" t="s">
        <v>263</v>
      </c>
      <c r="F18" s="137"/>
      <c r="G18" s="136"/>
      <c r="H18" s="138">
        <f>SUM(H9:H17)</f>
        <v>148299</v>
      </c>
    </row>
    <row r="20" spans="5:8" x14ac:dyDescent="0.4">
      <c r="E20" s="139" t="s">
        <v>136</v>
      </c>
      <c r="F20" s="139"/>
      <c r="G20" s="139"/>
      <c r="H20" s="140">
        <f>H4-H18</f>
        <v>701</v>
      </c>
    </row>
  </sheetData>
  <hyperlinks>
    <hyperlink ref="K1" location="'Project Status'!A1" display="'Project Status'!A1" xr:uid="{61EF1237-7E63-4593-B10E-BA676987A306}"/>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AF16-AAC1-4BC8-A3CB-44690025FB6D}">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07421875" bestFit="1" customWidth="1"/>
    <col min="5" max="5" width="39.69140625" bestFit="1" customWidth="1"/>
    <col min="6" max="6" width="9" bestFit="1" customWidth="1"/>
    <col min="7" max="7" width="12.3046875" bestFit="1" customWidth="1"/>
    <col min="8" max="8" width="16.53515625" bestFit="1" customWidth="1"/>
    <col min="9" max="9" width="12.0742187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20771</v>
      </c>
      <c r="B4" s="11">
        <f>VLOOKUP(A4,'Project Status'!C:D,2,FALSE)</f>
        <v>8674</v>
      </c>
      <c r="C4" s="11">
        <f>VLOOKUP(A4,'Project Status'!C:E,3,FALSE)</f>
        <v>0</v>
      </c>
      <c r="D4" s="11" t="str">
        <f>VLOOKUP(A4,'Project Status'!C:F,4,FALSE)</f>
        <v>12000 - Arts and Science: Office of the Dean</v>
      </c>
      <c r="E4" s="11" t="str">
        <f>VLOOKUP(A4,'Project Status'!C:I,7,FALSE)</f>
        <v>SC4 - Interstitial Space HVAC Modifications</v>
      </c>
      <c r="F4" s="11" t="str">
        <f>VLOOKUP(A4,'Project Status'!C:K,8,FALSE)</f>
        <v>Complete</v>
      </c>
      <c r="G4" s="11" t="str">
        <f>VLOOKUP(A4,'Project Status'!C:L,9,FALSE)</f>
        <v>Finalized</v>
      </c>
      <c r="H4" s="89">
        <f>VLOOKUP(A4,'Project Status'!C:N,11,FALSE)</f>
        <v>25000</v>
      </c>
      <c r="I4" s="173">
        <f>VLOOKUP(B4,'Project Status'!D:O,11,FALSE)</f>
        <v>24997</v>
      </c>
    </row>
    <row r="8" spans="1:11" x14ac:dyDescent="0.4">
      <c r="E8" s="41" t="s">
        <v>124</v>
      </c>
    </row>
    <row r="9" spans="1:11" x14ac:dyDescent="0.4">
      <c r="E9" s="22" t="s">
        <v>264</v>
      </c>
      <c r="F9" t="s">
        <v>139</v>
      </c>
      <c r="H9" s="42">
        <v>19297</v>
      </c>
    </row>
    <row r="10" spans="1:11" x14ac:dyDescent="0.4">
      <c r="E10" s="22" t="s">
        <v>270</v>
      </c>
      <c r="F10" t="s">
        <v>213</v>
      </c>
      <c r="H10" s="42">
        <v>5700</v>
      </c>
    </row>
    <row r="11" spans="1:11" x14ac:dyDescent="0.4">
      <c r="E11" s="22" t="s">
        <v>333</v>
      </c>
      <c r="F11" t="s">
        <v>300</v>
      </c>
      <c r="H11" s="42">
        <v>-7025</v>
      </c>
    </row>
    <row r="12" spans="1:11" x14ac:dyDescent="0.4">
      <c r="F12" s="10"/>
      <c r="G12" s="10"/>
      <c r="H12" s="45"/>
    </row>
    <row r="18" spans="5:8" x14ac:dyDescent="0.4">
      <c r="E18" s="136" t="s">
        <v>263</v>
      </c>
      <c r="F18" s="137"/>
      <c r="G18" s="136"/>
      <c r="H18" s="138">
        <f>SUM(H9:H17)</f>
        <v>17972</v>
      </c>
    </row>
    <row r="20" spans="5:8" x14ac:dyDescent="0.4">
      <c r="E20" s="139" t="s">
        <v>136</v>
      </c>
      <c r="F20" s="139"/>
      <c r="G20" s="139"/>
      <c r="H20" s="140">
        <f>I4-H18</f>
        <v>7025</v>
      </c>
    </row>
  </sheetData>
  <hyperlinks>
    <hyperlink ref="K1" location="'Project Status'!A1" display="'Project Status'!A1" xr:uid="{FE9FE35D-5ADF-428F-9C73-430E553BB9E5}"/>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125-FA62-4913-9C5C-815B64E8874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7.07421875" bestFit="1" customWidth="1"/>
    <col min="5" max="5" width="45.304687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20792</v>
      </c>
      <c r="B4" s="11">
        <f>VLOOKUP(A4,'Project Status'!C:D,2,FALSE)</f>
        <v>1035</v>
      </c>
      <c r="C4" s="11" t="str">
        <f>VLOOKUP(A4,'Project Status'!C:E,3,FALSE)</f>
        <v>CP_400206</v>
      </c>
      <c r="D4" s="11" t="str">
        <f>VLOOKUP(A4,'Project Status'!C:F,4,FALSE)</f>
        <v>17100 - Law: Business Affairs</v>
      </c>
      <c r="E4" s="11" t="str">
        <f>VLOOKUP(A4,'Project Status'!C:I,7,FALSE)</f>
        <v>Law School - Sections 1, 2, &amp; 3  Roof Replacement</v>
      </c>
      <c r="F4" s="11" t="str">
        <f>VLOOKUP(A4,'Project Status'!C:K,8,FALSE)</f>
        <v>Complete</v>
      </c>
      <c r="G4" s="11" t="str">
        <f>VLOOKUP(A4,'Project Status'!C:L,9,FALSE)</f>
        <v>Finalized</v>
      </c>
      <c r="H4" s="89">
        <f>VLOOKUP(A4,'Project Status'!C:N,11,FALSE)</f>
        <v>400000</v>
      </c>
      <c r="I4" s="173">
        <f>VLOOKUP(B4,'Project Status'!D:O,11,FALSE)</f>
        <v>483440</v>
      </c>
    </row>
    <row r="8" spans="1:11" x14ac:dyDescent="0.4">
      <c r="E8" s="41" t="s">
        <v>124</v>
      </c>
    </row>
    <row r="9" spans="1:11" x14ac:dyDescent="0.4">
      <c r="E9" s="22" t="s">
        <v>299</v>
      </c>
      <c r="F9" t="s">
        <v>139</v>
      </c>
      <c r="H9" s="42">
        <v>483440</v>
      </c>
    </row>
    <row r="10" spans="1:11" x14ac:dyDescent="0.4">
      <c r="E10" s="22" t="s">
        <v>367</v>
      </c>
      <c r="F10" t="s">
        <v>379</v>
      </c>
      <c r="H10" s="42">
        <v>-32665</v>
      </c>
    </row>
    <row r="12" spans="1:11" x14ac:dyDescent="0.4">
      <c r="F12" s="10"/>
      <c r="G12" s="10"/>
      <c r="H12" s="45"/>
    </row>
    <row r="18" spans="5:8" x14ac:dyDescent="0.4">
      <c r="E18" s="136" t="s">
        <v>263</v>
      </c>
      <c r="F18" s="137"/>
      <c r="G18" s="136"/>
      <c r="H18" s="138">
        <f>SUM(H9:H17)</f>
        <v>450775</v>
      </c>
    </row>
    <row r="20" spans="5:8" x14ac:dyDescent="0.4">
      <c r="E20" s="139" t="s">
        <v>136</v>
      </c>
      <c r="F20" s="139"/>
      <c r="G20" s="139"/>
      <c r="H20" s="140">
        <f>I4-H18</f>
        <v>32665</v>
      </c>
    </row>
  </sheetData>
  <hyperlinks>
    <hyperlink ref="K1" location="'Project Status'!A1" display="'Project Status'!A1" xr:uid="{8D4B950B-46B9-453E-93D9-3BBF9A5CCE1A}"/>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368C3-B681-49F3-B9D8-CF1A6B9B6D5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36.3046875" bestFit="1" customWidth="1"/>
    <col min="6" max="6" width="7" bestFit="1" customWidth="1"/>
    <col min="7" max="7" width="12.3046875" bestFit="1" customWidth="1"/>
    <col min="8" max="8" width="16.53515625" bestFit="1" customWidth="1"/>
    <col min="9" max="9" width="11.304687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20831</v>
      </c>
      <c r="B4" s="11">
        <f>VLOOKUP(A4,'Project Status'!C:D,2,FALSE)</f>
        <v>8230</v>
      </c>
      <c r="C4" s="11">
        <f>VLOOKUP(A4,'Project Status'!C:E,3,FALSE)</f>
        <v>0</v>
      </c>
      <c r="D4" s="11" t="str">
        <f>VLOOKUP(A4,'Project Status'!C:F,4,FALSE)</f>
        <v>12000 - Arts and Science: Office of the Dean</v>
      </c>
      <c r="E4" s="11" t="str">
        <f>VLOOKUP(A4,'Project Status'!C:I,7,FALSE)</f>
        <v>SC6 - HVAC Upgrades - Feasibility Study</v>
      </c>
      <c r="F4" s="11" t="str">
        <f>VLOOKUP(A4,'Project Status'!C:K,8,FALSE)</f>
        <v>Complete</v>
      </c>
      <c r="G4" s="11" t="str">
        <f>VLOOKUP(A4,'Project Status'!C:L,9,FALSE)</f>
        <v>Finalized</v>
      </c>
      <c r="H4" s="89">
        <f>VLOOKUP(A4,'Project Status'!C:N,11,FALSE)</f>
        <v>24000</v>
      </c>
      <c r="I4" s="173">
        <f>VLOOKUP(B4,'Project Status'!D:O,11,FALSE)</f>
        <v>24000</v>
      </c>
    </row>
    <row r="8" spans="1:11" x14ac:dyDescent="0.4">
      <c r="E8" s="41" t="s">
        <v>124</v>
      </c>
    </row>
    <row r="9" spans="1:11" x14ac:dyDescent="0.4">
      <c r="E9" s="22" t="s">
        <v>322</v>
      </c>
      <c r="F9" t="s">
        <v>139</v>
      </c>
      <c r="H9" s="42">
        <v>24000</v>
      </c>
    </row>
    <row r="10" spans="1:11" x14ac:dyDescent="0.4">
      <c r="E10" s="22"/>
      <c r="H10" s="42"/>
    </row>
    <row r="12" spans="1:11" x14ac:dyDescent="0.4">
      <c r="F12" s="10"/>
      <c r="G12" s="10"/>
      <c r="H12" s="45"/>
    </row>
    <row r="18" spans="5:8" x14ac:dyDescent="0.4">
      <c r="E18" s="136" t="s">
        <v>263</v>
      </c>
      <c r="F18" s="137"/>
      <c r="G18" s="136"/>
      <c r="H18" s="138">
        <f>SUM(H9:H17)</f>
        <v>24000</v>
      </c>
    </row>
    <row r="20" spans="5:8" x14ac:dyDescent="0.4">
      <c r="E20" s="139" t="s">
        <v>136</v>
      </c>
      <c r="F20" s="139"/>
      <c r="G20" s="139"/>
      <c r="H20" s="140">
        <f>H4-H18</f>
        <v>0</v>
      </c>
    </row>
  </sheetData>
  <hyperlinks>
    <hyperlink ref="K1" location="'Project Status'!A1" display="'Project Status'!A1" xr:uid="{E8A0A439-2AB4-4540-942F-1B3D83DD7ED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O27"/>
  <sheetViews>
    <sheetView topLeftCell="E1" zoomScaleNormal="100" workbookViewId="0">
      <selection activeCell="O15" sqref="O15"/>
    </sheetView>
  </sheetViews>
  <sheetFormatPr defaultRowHeight="14.6" x14ac:dyDescent="0.4"/>
  <cols>
    <col min="1" max="1" width="21.07421875" bestFit="1" customWidth="1"/>
    <col min="2" max="2" width="12" bestFit="1" customWidth="1"/>
    <col min="3" max="3" width="13.53515625" bestFit="1" customWidth="1"/>
    <col min="5" max="5" width="21.07421875" bestFit="1" customWidth="1"/>
    <col min="6" max="6" width="12" bestFit="1" customWidth="1"/>
    <col min="7" max="7" width="13.53515625" bestFit="1" customWidth="1"/>
    <col min="9" max="9" width="21.07421875" bestFit="1" customWidth="1"/>
    <col min="10" max="10" width="12" bestFit="1" customWidth="1"/>
    <col min="11" max="11" width="13.53515625" bestFit="1" customWidth="1"/>
    <col min="13" max="13" width="29.69140625" customWidth="1"/>
    <col min="14" max="14" width="12.53515625" customWidth="1"/>
    <col min="15" max="15" width="13.53515625" customWidth="1"/>
    <col min="16" max="16" width="8.84375" customWidth="1"/>
  </cols>
  <sheetData>
    <row r="1" spans="1:15" s="8" customFormat="1" x14ac:dyDescent="0.4">
      <c r="A1" s="10" t="s">
        <v>208</v>
      </c>
      <c r="E1" s="10" t="s">
        <v>207</v>
      </c>
      <c r="I1" s="10" t="s">
        <v>320</v>
      </c>
      <c r="M1" s="10" t="s">
        <v>439</v>
      </c>
    </row>
    <row r="2" spans="1:15" s="8" customFormat="1" x14ac:dyDescent="0.4">
      <c r="A2" s="20"/>
      <c r="B2" s="34"/>
      <c r="E2" s="20"/>
      <c r="F2" s="34"/>
      <c r="I2" s="20"/>
      <c r="J2" s="34"/>
      <c r="M2" s="20"/>
      <c r="N2" s="34"/>
    </row>
    <row r="3" spans="1:15" ht="14.7" customHeight="1" x14ac:dyDescent="0.4">
      <c r="A3" s="8"/>
      <c r="C3" s="12">
        <v>3.41</v>
      </c>
      <c r="E3" s="8"/>
      <c r="G3" s="12">
        <v>3.97</v>
      </c>
      <c r="I3" s="8"/>
      <c r="K3" s="12">
        <v>4.54</v>
      </c>
      <c r="L3" s="87"/>
      <c r="M3" s="8"/>
      <c r="O3" s="12">
        <v>4.54</v>
      </c>
    </row>
    <row r="4" spans="1:15" x14ac:dyDescent="0.4">
      <c r="A4" s="13" t="s">
        <v>86</v>
      </c>
      <c r="B4" s="14" t="s">
        <v>99</v>
      </c>
      <c r="C4" s="14" t="s">
        <v>88</v>
      </c>
      <c r="E4" s="13" t="s">
        <v>86</v>
      </c>
      <c r="F4" s="14" t="s">
        <v>99</v>
      </c>
      <c r="G4" s="14" t="s">
        <v>88</v>
      </c>
      <c r="I4" s="13" t="s">
        <v>86</v>
      </c>
      <c r="J4" s="14" t="s">
        <v>99</v>
      </c>
      <c r="K4" s="14" t="s">
        <v>88</v>
      </c>
      <c r="M4" s="13" t="s">
        <v>86</v>
      </c>
      <c r="N4" s="14" t="s">
        <v>99</v>
      </c>
      <c r="O4" s="14" t="s">
        <v>88</v>
      </c>
    </row>
    <row r="5" spans="1:15" x14ac:dyDescent="0.4">
      <c r="A5" t="s">
        <v>194</v>
      </c>
      <c r="B5" s="15">
        <v>1075461.7320675128</v>
      </c>
      <c r="C5" s="16">
        <v>3663826</v>
      </c>
      <c r="E5" t="s">
        <v>194</v>
      </c>
      <c r="F5" s="15">
        <v>1059147</v>
      </c>
      <c r="G5" s="16">
        <f>F5*$G$3</f>
        <v>4204813.59</v>
      </c>
      <c r="I5" t="s">
        <v>194</v>
      </c>
      <c r="J5" s="15">
        <v>1074720.0751011034</v>
      </c>
      <c r="K5" s="16">
        <f>J5*$K$3</f>
        <v>4879229.1409590095</v>
      </c>
      <c r="M5" t="s">
        <v>194</v>
      </c>
      <c r="N5" s="15">
        <v>1168519.7720314125</v>
      </c>
      <c r="O5" s="16">
        <f t="shared" ref="O5:O14" si="0">N5*$K$3</f>
        <v>5305079.7650226122</v>
      </c>
    </row>
    <row r="6" spans="1:15" x14ac:dyDescent="0.4">
      <c r="A6" t="s">
        <v>196</v>
      </c>
      <c r="B6" s="15">
        <v>121421.42689276834</v>
      </c>
      <c r="C6" s="16">
        <v>413652</v>
      </c>
      <c r="E6" t="s">
        <v>196</v>
      </c>
      <c r="F6" s="15">
        <v>121421</v>
      </c>
      <c r="G6" s="16">
        <f t="shared" ref="G6:G13" si="1">F6*$G$3</f>
        <v>482041.37</v>
      </c>
      <c r="I6" t="s">
        <v>196</v>
      </c>
      <c r="J6" s="15">
        <v>132408.79114461056</v>
      </c>
      <c r="K6" s="16">
        <f t="shared" ref="K6:K13" si="2">J6*$K$3</f>
        <v>601135.91179653199</v>
      </c>
      <c r="M6" t="s">
        <v>196</v>
      </c>
      <c r="N6" s="15">
        <v>121417.21100126416</v>
      </c>
      <c r="O6" s="16">
        <f t="shared" si="0"/>
        <v>551234.13794573932</v>
      </c>
    </row>
    <row r="7" spans="1:15" x14ac:dyDescent="0.4">
      <c r="A7" t="s">
        <v>197</v>
      </c>
      <c r="B7" s="15">
        <v>57814.730923479161</v>
      </c>
      <c r="C7" s="16">
        <v>196960</v>
      </c>
      <c r="E7" t="s">
        <v>197</v>
      </c>
      <c r="F7" s="15">
        <v>58263</v>
      </c>
      <c r="G7" s="16">
        <f t="shared" si="1"/>
        <v>231304.11000000002</v>
      </c>
      <c r="I7" t="s">
        <v>197</v>
      </c>
      <c r="J7" s="15">
        <v>58263.192463850428</v>
      </c>
      <c r="K7" s="16">
        <f t="shared" si="2"/>
        <v>264514.89378588094</v>
      </c>
      <c r="M7" t="s">
        <v>440</v>
      </c>
      <c r="N7" s="15">
        <v>42638.088851024644</v>
      </c>
      <c r="O7" s="16">
        <f t="shared" si="0"/>
        <v>193576.92338365188</v>
      </c>
    </row>
    <row r="8" spans="1:15" x14ac:dyDescent="0.4">
      <c r="A8" t="s">
        <v>198</v>
      </c>
      <c r="B8" s="15">
        <v>537962.332719445</v>
      </c>
      <c r="C8" s="16">
        <v>1832701</v>
      </c>
      <c r="E8" t="s">
        <v>198</v>
      </c>
      <c r="F8" s="15">
        <v>552478</v>
      </c>
      <c r="G8" s="16">
        <f t="shared" si="1"/>
        <v>2193337.66</v>
      </c>
      <c r="I8" t="s">
        <v>198</v>
      </c>
      <c r="J8" s="15">
        <v>548364.43485711806</v>
      </c>
      <c r="K8" s="16">
        <f t="shared" si="2"/>
        <v>2489574.534251316</v>
      </c>
      <c r="M8" t="s">
        <v>197</v>
      </c>
      <c r="N8" s="15">
        <v>58286.961475850505</v>
      </c>
      <c r="O8" s="16">
        <f t="shared" si="0"/>
        <v>264622.80510036129</v>
      </c>
    </row>
    <row r="9" spans="1:15" x14ac:dyDescent="0.4">
      <c r="A9" t="s">
        <v>199</v>
      </c>
      <c r="B9" s="15">
        <v>120155.48460329951</v>
      </c>
      <c r="C9" s="16">
        <v>409339</v>
      </c>
      <c r="E9" t="s">
        <v>199</v>
      </c>
      <c r="F9" s="15">
        <v>120155</v>
      </c>
      <c r="G9" s="16">
        <f t="shared" si="1"/>
        <v>477015.35000000003</v>
      </c>
      <c r="I9" t="s">
        <v>199</v>
      </c>
      <c r="J9" s="15">
        <v>119265.35530160108</v>
      </c>
      <c r="K9" s="16">
        <f t="shared" si="2"/>
        <v>541464.71306926897</v>
      </c>
      <c r="M9" t="s">
        <v>198</v>
      </c>
      <c r="N9" s="15">
        <v>490439.88505166722</v>
      </c>
      <c r="O9" s="16">
        <f t="shared" si="0"/>
        <v>2226597.0781345693</v>
      </c>
    </row>
    <row r="10" spans="1:15" x14ac:dyDescent="0.4">
      <c r="A10" t="s">
        <v>201</v>
      </c>
      <c r="B10" s="15">
        <v>280022.39987629937</v>
      </c>
      <c r="C10" s="16">
        <v>953965</v>
      </c>
      <c r="E10" t="s">
        <v>201</v>
      </c>
      <c r="F10" s="15">
        <v>265674</v>
      </c>
      <c r="G10" s="16">
        <f t="shared" si="1"/>
        <v>1054725.78</v>
      </c>
      <c r="I10" t="s">
        <v>201</v>
      </c>
      <c r="J10" s="15">
        <v>315635.41302808712</v>
      </c>
      <c r="K10" s="16">
        <f t="shared" si="2"/>
        <v>1432984.7751475156</v>
      </c>
      <c r="M10" t="s">
        <v>199</v>
      </c>
      <c r="N10" s="15">
        <v>119265.35530160108</v>
      </c>
      <c r="O10" s="16">
        <f t="shared" si="0"/>
        <v>541464.71306926897</v>
      </c>
    </row>
    <row r="11" spans="1:15" x14ac:dyDescent="0.4">
      <c r="A11" t="s">
        <v>200</v>
      </c>
      <c r="B11" s="15">
        <v>106166.70000000001</v>
      </c>
      <c r="C11" s="16">
        <v>361683</v>
      </c>
      <c r="E11" t="s">
        <v>200</v>
      </c>
      <c r="F11" s="15">
        <v>105746</v>
      </c>
      <c r="G11" s="16">
        <f t="shared" si="1"/>
        <v>419811.62</v>
      </c>
      <c r="I11" t="s">
        <v>200</v>
      </c>
      <c r="J11" s="15">
        <v>105746.41</v>
      </c>
      <c r="K11" s="16">
        <f t="shared" si="2"/>
        <v>480088.70140000002</v>
      </c>
      <c r="M11" t="s">
        <v>200</v>
      </c>
      <c r="N11" s="15">
        <v>105746.45000000003</v>
      </c>
      <c r="O11" s="16">
        <f t="shared" si="0"/>
        <v>480088.88300000015</v>
      </c>
    </row>
    <row r="12" spans="1:15" x14ac:dyDescent="0.4">
      <c r="A12" t="s">
        <v>195</v>
      </c>
      <c r="B12" s="15">
        <v>59008.361666666671</v>
      </c>
      <c r="C12" s="16">
        <v>201027</v>
      </c>
      <c r="E12" t="s">
        <v>195</v>
      </c>
      <c r="F12" s="15">
        <v>99140</v>
      </c>
      <c r="G12" s="16">
        <f t="shared" si="1"/>
        <v>393585.80000000005</v>
      </c>
      <c r="I12" t="s">
        <v>195</v>
      </c>
      <c r="J12" s="15">
        <v>99598.392846122995</v>
      </c>
      <c r="K12" s="16">
        <f t="shared" si="2"/>
        <v>452176.70352139842</v>
      </c>
      <c r="M12" t="s">
        <v>195</v>
      </c>
      <c r="N12" s="15">
        <v>99610.067310203041</v>
      </c>
      <c r="O12" s="16">
        <f t="shared" si="0"/>
        <v>452229.70558832178</v>
      </c>
    </row>
    <row r="13" spans="1:15" x14ac:dyDescent="0.4">
      <c r="A13" t="s">
        <v>202</v>
      </c>
      <c r="B13" s="15">
        <v>390796.88477064227</v>
      </c>
      <c r="C13" s="16">
        <v>1331346</v>
      </c>
      <c r="E13" t="s">
        <v>202</v>
      </c>
      <c r="F13" s="15">
        <v>396133</v>
      </c>
      <c r="G13" s="16">
        <f t="shared" si="1"/>
        <v>1572648.01</v>
      </c>
      <c r="I13" t="s">
        <v>202</v>
      </c>
      <c r="J13" s="15">
        <v>377998.91813531332</v>
      </c>
      <c r="K13" s="16">
        <f t="shared" si="2"/>
        <v>1716115.0883343224</v>
      </c>
      <c r="M13" t="s">
        <v>202</v>
      </c>
      <c r="N13" s="15">
        <v>381580.02507269708</v>
      </c>
      <c r="O13" s="16">
        <f t="shared" si="0"/>
        <v>1732373.3138300448</v>
      </c>
    </row>
    <row r="14" spans="1:15" x14ac:dyDescent="0.4">
      <c r="B14" s="15"/>
      <c r="C14" s="16"/>
      <c r="F14" s="15"/>
      <c r="G14" s="16"/>
      <c r="J14" s="15"/>
      <c r="K14" s="16"/>
      <c r="M14" t="s">
        <v>201</v>
      </c>
      <c r="N14" s="15">
        <v>334042.36306245415</v>
      </c>
      <c r="O14" s="16">
        <f t="shared" si="0"/>
        <v>1516552.328303542</v>
      </c>
    </row>
    <row r="15" spans="1:15" ht="15" thickBot="1" x14ac:dyDescent="0.45">
      <c r="A15" s="8"/>
      <c r="B15" s="17">
        <f>SUM(B5:B13)</f>
        <v>2748810.0535201132</v>
      </c>
      <c r="C15" s="18">
        <f>SUM(C5:C13)</f>
        <v>9364499</v>
      </c>
      <c r="E15" s="8"/>
      <c r="F15" s="17">
        <f>SUM(F5:F13)</f>
        <v>2778157</v>
      </c>
      <c r="G15" s="18">
        <f>SUM(G5:G13)</f>
        <v>11029283.289999999</v>
      </c>
      <c r="I15" s="8"/>
      <c r="J15" s="17">
        <f>SUM(J5:J13)</f>
        <v>2832000.9828778072</v>
      </c>
      <c r="K15" s="18">
        <f>SUM(K5:K13)</f>
        <v>12857284.462265246</v>
      </c>
      <c r="M15" s="8"/>
      <c r="N15" s="17">
        <f>SUM(N5:N14)</f>
        <v>2921546.1791581744</v>
      </c>
      <c r="O15" s="18">
        <f>SUM(O5:O14)</f>
        <v>13263819.65337811</v>
      </c>
    </row>
    <row r="18" spans="1:15" x14ac:dyDescent="0.4">
      <c r="A18" t="s">
        <v>88</v>
      </c>
      <c r="C18" s="35">
        <f>C15</f>
        <v>9364499</v>
      </c>
      <c r="E18" t="s">
        <v>88</v>
      </c>
      <c r="G18" s="35">
        <f>G15</f>
        <v>11029283.289999999</v>
      </c>
      <c r="I18" t="s">
        <v>88</v>
      </c>
      <c r="K18" s="35">
        <f>K15</f>
        <v>12857284.462265246</v>
      </c>
      <c r="M18" t="s">
        <v>88</v>
      </c>
      <c r="O18" s="35">
        <f>O15</f>
        <v>13263819.65337811</v>
      </c>
    </row>
    <row r="19" spans="1:15" x14ac:dyDescent="0.4">
      <c r="A19" t="s">
        <v>209</v>
      </c>
      <c r="C19" s="35">
        <f>'Project Status'!S81</f>
        <v>8797286.2599999998</v>
      </c>
      <c r="E19" t="s">
        <v>209</v>
      </c>
      <c r="G19" s="35">
        <f>'Project Status'!T81</f>
        <v>11427472.939999999</v>
      </c>
      <c r="I19" t="s">
        <v>209</v>
      </c>
      <c r="K19" s="35">
        <f>'Project Status'!W81</f>
        <v>9182021.7800000012</v>
      </c>
      <c r="M19" t="s">
        <v>209</v>
      </c>
      <c r="O19" s="35">
        <f>'Project Status'!AA81</f>
        <v>0</v>
      </c>
    </row>
    <row r="20" spans="1:15" ht="15" thickBot="1" x14ac:dyDescent="0.45">
      <c r="A20" t="s">
        <v>123</v>
      </c>
      <c r="C20" s="67">
        <f>C18-C19</f>
        <v>567212.74000000022</v>
      </c>
      <c r="E20" t="s">
        <v>123</v>
      </c>
      <c r="G20" s="67">
        <f>G18-G19</f>
        <v>-398189.65000000037</v>
      </c>
      <c r="I20" t="s">
        <v>123</v>
      </c>
      <c r="K20" s="67">
        <f>K18-K19</f>
        <v>3675262.6822652444</v>
      </c>
      <c r="M20" t="s">
        <v>123</v>
      </c>
      <c r="O20" s="67">
        <f>O18-O19</f>
        <v>13263819.65337811</v>
      </c>
    </row>
    <row r="25" spans="1:15" x14ac:dyDescent="0.4">
      <c r="A25" s="19"/>
      <c r="E25" s="19"/>
      <c r="I25" s="19"/>
      <c r="M25" s="19"/>
      <c r="N25" s="147"/>
    </row>
    <row r="27" spans="1:15" x14ac:dyDescent="0.4">
      <c r="K27" t="b">
        <f>'Summary_for Web-1'!C15=(Contributions!C15+Contributions!G15+Contributions!K15)</f>
        <v>1</v>
      </c>
    </row>
  </sheetData>
  <sortState xmlns:xlrd2="http://schemas.microsoft.com/office/spreadsheetml/2017/richdata2" ref="M5:O14">
    <sortCondition ref="M5:M14"/>
  </sortState>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7F2E-F84B-4241-8CB4-0A3CBAD2CEE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30.3046875" bestFit="1" customWidth="1"/>
    <col min="6" max="6" width="17.53515625" bestFit="1" customWidth="1"/>
    <col min="7" max="7" width="12.3046875" bestFit="1" customWidth="1"/>
    <col min="8" max="8" width="16.53515625" bestFit="1" customWidth="1"/>
    <col min="9" max="9" width="11.304687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20832</v>
      </c>
      <c r="B4" s="11">
        <f>VLOOKUP(A4,'Project Status'!C:D,2,FALSE)</f>
        <v>8220</v>
      </c>
      <c r="C4" s="11">
        <f>VLOOKUP(A4,'Project Status'!C:E,3,FALSE)</f>
        <v>0</v>
      </c>
      <c r="D4" s="11" t="str">
        <f>VLOOKUP(A4,'Project Status'!C:F,4,FALSE)</f>
        <v>12000 - Arts and Science: Office of the Dean</v>
      </c>
      <c r="E4" s="11" t="str">
        <f>VLOOKUP(A4,'Project Status'!C:I,7,FALSE)</f>
        <v>Wilson Hall - HVAC Replacement</v>
      </c>
      <c r="F4" s="11" t="str">
        <f>VLOOKUP(A4,'Project Status'!C:K,8,FALSE)</f>
        <v>Complete</v>
      </c>
      <c r="G4" s="11" t="str">
        <f>VLOOKUP(A4,'Project Status'!C:L,9,FALSE)</f>
        <v>Finalized</v>
      </c>
      <c r="H4" s="89">
        <f>VLOOKUP(A4,'Project Status'!C:N,11,FALSE)</f>
        <v>24000</v>
      </c>
      <c r="I4" s="173">
        <f>VLOOKUP(B4,'Project Status'!D:O,11,FALSE)</f>
        <v>24000</v>
      </c>
    </row>
    <row r="8" spans="1:11" x14ac:dyDescent="0.4">
      <c r="E8" s="41" t="s">
        <v>124</v>
      </c>
    </row>
    <row r="9" spans="1:11" x14ac:dyDescent="0.4">
      <c r="E9" s="22" t="s">
        <v>322</v>
      </c>
      <c r="F9" t="s">
        <v>139</v>
      </c>
      <c r="H9" s="42">
        <v>24000</v>
      </c>
    </row>
    <row r="10" spans="1:11" x14ac:dyDescent="0.4">
      <c r="E10" s="22"/>
      <c r="H10" s="42"/>
    </row>
    <row r="12" spans="1:11" x14ac:dyDescent="0.4">
      <c r="F12" s="10"/>
      <c r="G12" s="10"/>
      <c r="H12" s="45"/>
    </row>
    <row r="18" spans="5:8" x14ac:dyDescent="0.4">
      <c r="E18" s="136" t="s">
        <v>263</v>
      </c>
      <c r="F18" s="137"/>
      <c r="G18" s="136"/>
      <c r="H18" s="138">
        <f>SUM(H9:H17)</f>
        <v>24000</v>
      </c>
    </row>
    <row r="20" spans="5:8" x14ac:dyDescent="0.4">
      <c r="E20" s="139" t="s">
        <v>136</v>
      </c>
      <c r="F20" s="139"/>
      <c r="G20" s="139"/>
      <c r="H20" s="140">
        <f>H4-H18</f>
        <v>0</v>
      </c>
    </row>
  </sheetData>
  <hyperlinks>
    <hyperlink ref="K1" location="'Project Status'!A1" display="'Project Status'!A1" xr:uid="{9BBBF562-A58E-43EF-88BF-D8E408EC28D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B043-DAD8-4B06-A827-AEFDC537BC51}">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27.69140625" bestFit="1" customWidth="1"/>
    <col min="6" max="6" width="7" bestFit="1" customWidth="1"/>
    <col min="7" max="7" width="12.3046875" bestFit="1" customWidth="1"/>
    <col min="8" max="8" width="16.53515625" bestFit="1" customWidth="1"/>
    <col min="9" max="9" width="11.304687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20833</v>
      </c>
      <c r="B4" s="11">
        <f>VLOOKUP(A4,'Project Status'!C:D,2,FALSE)</f>
        <v>8215</v>
      </c>
      <c r="C4" s="11">
        <f>VLOOKUP(A4,'Project Status'!C:E,3,FALSE)</f>
        <v>0</v>
      </c>
      <c r="D4" s="11" t="str">
        <f>VLOOKUP(A4,'Project Status'!C:F,4,FALSE)</f>
        <v>12000 - Arts and Science: Office of the Dean</v>
      </c>
      <c r="E4" s="11" t="str">
        <f>VLOOKUP(A4,'Project Status'!C:I,7,FALSE)</f>
        <v>SC5 - HVAC Replacement (Design Services)</v>
      </c>
      <c r="F4" s="11" t="str">
        <f>VLOOKUP(A4,'Project Status'!C:K,8,FALSE)</f>
        <v>Complete</v>
      </c>
      <c r="G4" s="11" t="str">
        <f>VLOOKUP(A4,'Project Status'!C:L,9,FALSE)</f>
        <v>Finalized</v>
      </c>
      <c r="H4" s="89">
        <f>VLOOKUP(A4,'Project Status'!C:N,11,FALSE)</f>
        <v>24000</v>
      </c>
      <c r="I4" s="173">
        <f>VLOOKUP(B4,'Project Status'!D:O,11,FALSE)</f>
        <v>24000</v>
      </c>
    </row>
    <row r="8" spans="1:11" x14ac:dyDescent="0.4">
      <c r="E8" s="41" t="s">
        <v>124</v>
      </c>
    </row>
    <row r="9" spans="1:11" x14ac:dyDescent="0.4">
      <c r="E9" s="22" t="s">
        <v>322</v>
      </c>
      <c r="F9" t="s">
        <v>139</v>
      </c>
      <c r="H9" s="42">
        <v>24000</v>
      </c>
    </row>
    <row r="10" spans="1:11" x14ac:dyDescent="0.4">
      <c r="E10" s="22"/>
      <c r="H10" s="42"/>
    </row>
    <row r="12" spans="1:11" x14ac:dyDescent="0.4">
      <c r="F12" s="10"/>
      <c r="G12" s="10"/>
      <c r="H12" s="45"/>
    </row>
    <row r="18" spans="5:8" x14ac:dyDescent="0.4">
      <c r="E18" s="136" t="s">
        <v>263</v>
      </c>
      <c r="F18" s="137"/>
      <c r="G18" s="136"/>
      <c r="H18" s="138">
        <f>SUM(H9:H17)</f>
        <v>24000</v>
      </c>
    </row>
    <row r="20" spans="5:8" x14ac:dyDescent="0.4">
      <c r="E20" s="139" t="s">
        <v>136</v>
      </c>
      <c r="F20" s="139"/>
      <c r="G20" s="139"/>
      <c r="H20" s="140">
        <f>H4-H18</f>
        <v>0</v>
      </c>
    </row>
  </sheetData>
  <hyperlinks>
    <hyperlink ref="K1" location="'Project Status'!A1" display="'Project Status'!A1" xr:uid="{B25E1A88-3C72-4B3E-99ED-E68E24C515C3}"/>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AB3B5-6CEC-4435-AA6E-80E17200EDE5}">
  <sheetPr>
    <tabColor theme="4"/>
  </sheetPr>
  <dimension ref="A1:K20"/>
  <sheetViews>
    <sheetView zoomScale="90" zoomScaleNormal="90" workbookViewId="0">
      <selection activeCell="E11" sqref="E11"/>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50.3046875" bestFit="1" customWidth="1"/>
    <col min="6" max="6" width="12.3046875" bestFit="1" customWidth="1"/>
    <col min="7" max="7" width="11.3046875" bestFit="1" customWidth="1"/>
    <col min="8" max="8" width="16.5351562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20772</v>
      </c>
      <c r="B4" s="11">
        <f>VLOOKUP(A4,'Project Status'!C:D,2,FALSE)</f>
        <v>8675</v>
      </c>
      <c r="C4" s="11" t="str">
        <f>VLOOKUP(A4,'Project Status'!C:E,3,FALSE)</f>
        <v>CP_400235</v>
      </c>
      <c r="D4" s="11" t="str">
        <f>VLOOKUP(A4,'Project Status'!C:F,4,FALSE)</f>
        <v>20000 - Owen: Office of the Dean</v>
      </c>
      <c r="E4" s="11" t="str">
        <f>VLOOKUP(A4,'Project Status'!C:I,7,FALSE)</f>
        <v>OGSM Old Mechanical- Slate Roof &amp; Window Replacement</v>
      </c>
      <c r="F4" s="11" t="str">
        <f>VLOOKUP(A4,'Project Status'!C:K,8,FALSE)</f>
        <v>Active</v>
      </c>
      <c r="G4" s="11" t="str">
        <f>VLOOKUP(A4,'Project Status'!C:L,9,FALSE)</f>
        <v>Construction</v>
      </c>
      <c r="H4" s="89">
        <f>VLOOKUP(A4,'Project Status'!C:N,11,FALSE)</f>
        <v>3200000</v>
      </c>
    </row>
    <row r="8" spans="1:11" x14ac:dyDescent="0.4">
      <c r="E8" s="41" t="s">
        <v>124</v>
      </c>
    </row>
    <row r="9" spans="1:11" x14ac:dyDescent="0.4">
      <c r="E9" s="22" t="s">
        <v>405</v>
      </c>
      <c r="F9" t="s">
        <v>139</v>
      </c>
      <c r="H9" s="42">
        <v>1600000</v>
      </c>
    </row>
    <row r="10" spans="1:11" x14ac:dyDescent="0.4">
      <c r="E10" s="22" t="s">
        <v>422</v>
      </c>
      <c r="F10" t="s">
        <v>139</v>
      </c>
      <c r="H10" s="42">
        <v>1600000</v>
      </c>
    </row>
    <row r="12" spans="1:11" x14ac:dyDescent="0.4">
      <c r="F12" s="10"/>
      <c r="G12" s="10"/>
      <c r="H12" s="45"/>
    </row>
    <row r="18" spans="5:8" x14ac:dyDescent="0.4">
      <c r="E18" s="136" t="s">
        <v>263</v>
      </c>
      <c r="F18" s="137"/>
      <c r="G18" s="136"/>
      <c r="H18" s="138">
        <f>SUM(H9:H17)</f>
        <v>3200000</v>
      </c>
    </row>
    <row r="20" spans="5:8" x14ac:dyDescent="0.4">
      <c r="E20" s="139" t="s">
        <v>136</v>
      </c>
      <c r="F20" s="139"/>
      <c r="G20" s="139"/>
      <c r="H20" s="140">
        <f>H4-H18</f>
        <v>0</v>
      </c>
    </row>
  </sheetData>
  <phoneticPr fontId="5" type="noConversion"/>
  <hyperlinks>
    <hyperlink ref="K1" location="'Project Status'!A1" display="'Project Status'!A1" xr:uid="{83DBAEF1-0A37-4046-962D-54E43C232E2A}"/>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33B2-AA93-4F1E-A806-ECA2D4C5BE0E}">
  <sheetPr>
    <tabColor theme="4"/>
  </sheetPr>
  <dimension ref="A1:K25"/>
  <sheetViews>
    <sheetView zoomScale="90" zoomScaleNormal="90" workbookViewId="0"/>
  </sheetViews>
  <sheetFormatPr defaultRowHeight="14.6" x14ac:dyDescent="0.4"/>
  <cols>
    <col min="1" max="1" width="8.53515625" bestFit="1" customWidth="1"/>
    <col min="2" max="2" width="5.53515625" bestFit="1" customWidth="1"/>
    <col min="3" max="3" width="10.3046875" bestFit="1" customWidth="1"/>
    <col min="4" max="4" width="40.53515625" bestFit="1" customWidth="1"/>
    <col min="5" max="5" width="40.3046875" bestFit="1" customWidth="1"/>
    <col min="6" max="6" width="6.304687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20811</v>
      </c>
      <c r="B4" s="11">
        <f>VLOOKUP(A4,'Project Status'!C:D,2,FALSE)</f>
        <v>0</v>
      </c>
      <c r="C4" s="11" t="str">
        <f>VLOOKUP(A4,'Project Status'!C:E,3,FALSE)</f>
        <v>CP_400224</v>
      </c>
      <c r="D4" s="11" t="str">
        <f>VLOOKUP(A4,'Project Status'!C:F,4,FALSE)</f>
        <v>21000 - Peabody College: Office of the Dean</v>
      </c>
      <c r="E4" s="11" t="str">
        <f>VLOOKUP(A4,'Project Status'!C:I,7,FALSE)</f>
        <v>One Magnolia Circle - Retaining Wall Repair</v>
      </c>
      <c r="F4" s="11" t="str">
        <f>VLOOKUP(A4,'Project Status'!C:K,8,FALSE)</f>
        <v>Active</v>
      </c>
      <c r="G4" s="11" t="str">
        <f>VLOOKUP(A4,'Project Status'!C:L,9,FALSE)</f>
        <v>Warranty or Construction Closeout</v>
      </c>
      <c r="H4" s="89">
        <f>VLOOKUP(A4,'Project Status'!C:N,11,FALSE)</f>
        <v>75000</v>
      </c>
      <c r="I4" s="173"/>
    </row>
    <row r="8" spans="1:11" x14ac:dyDescent="0.4">
      <c r="E8" s="41" t="s">
        <v>124</v>
      </c>
    </row>
    <row r="9" spans="1:11" x14ac:dyDescent="0.4">
      <c r="E9" s="22" t="s">
        <v>392</v>
      </c>
      <c r="F9" t="s">
        <v>139</v>
      </c>
      <c r="H9" s="42">
        <v>285233.27</v>
      </c>
    </row>
    <row r="10" spans="1:11" x14ac:dyDescent="0.4">
      <c r="E10" s="22"/>
    </row>
    <row r="12" spans="1:11" x14ac:dyDescent="0.4">
      <c r="F12" s="10"/>
      <c r="G12" s="10"/>
      <c r="H12" s="45"/>
    </row>
    <row r="18" spans="2:8" x14ac:dyDescent="0.4">
      <c r="E18" s="136" t="s">
        <v>263</v>
      </c>
      <c r="F18" s="137"/>
      <c r="G18" s="136"/>
      <c r="H18" s="138">
        <f>SUM(H9:H17)</f>
        <v>285233.27</v>
      </c>
    </row>
    <row r="20" spans="2:8" x14ac:dyDescent="0.4">
      <c r="E20" s="139" t="s">
        <v>136</v>
      </c>
      <c r="F20" s="139"/>
      <c r="G20" s="139"/>
      <c r="H20" s="140">
        <f>H4-H18</f>
        <v>-210233.27000000002</v>
      </c>
    </row>
    <row r="25" spans="2:8" x14ac:dyDescent="0.4">
      <c r="B25" t="s">
        <v>393</v>
      </c>
    </row>
  </sheetData>
  <hyperlinks>
    <hyperlink ref="K1" location="'Project Status'!A1" display="'Project Status'!A1" xr:uid="{C3D9E244-9ED6-4DCA-82E8-3F990677484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11D44-6C59-423E-836E-B1E6A9EC3484}">
  <sheetPr>
    <tabColor theme="4"/>
  </sheetPr>
  <dimension ref="A1:K20"/>
  <sheetViews>
    <sheetView zoomScale="90" zoomScaleNormal="90" workbookViewId="0">
      <selection activeCell="H18" sqref="H18"/>
    </sheetView>
  </sheetViews>
  <sheetFormatPr defaultRowHeight="14.6" x14ac:dyDescent="0.4"/>
  <cols>
    <col min="1" max="1" width="8.53515625" bestFit="1" customWidth="1"/>
    <col min="2" max="2" width="5.53515625" bestFit="1" customWidth="1"/>
    <col min="3" max="3" width="10.3046875" bestFit="1" customWidth="1"/>
    <col min="4" max="4" width="40.53515625" bestFit="1" customWidth="1"/>
    <col min="5" max="5" width="40.3046875" bestFit="1" customWidth="1"/>
    <col min="6" max="6" width="6.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20812</v>
      </c>
      <c r="B4" s="11">
        <f>VLOOKUP(A4,'Project Status'!C:D,2,FALSE)</f>
        <v>8923</v>
      </c>
      <c r="C4" s="11" t="str">
        <f>VLOOKUP(A4,'Project Status'!C:E,3,FALSE)</f>
        <v>CP_400282</v>
      </c>
      <c r="D4" s="11" t="str">
        <f>VLOOKUP(A4,'Project Status'!C:F,4,FALSE)</f>
        <v>15000 - Engineering: Office of the Dean</v>
      </c>
      <c r="E4" s="11" t="str">
        <f>VLOOKUP(A4,'Project Status'!C:I,7,FALSE)</f>
        <v>1025 16th Avenue - Patio Repairs</v>
      </c>
      <c r="F4" s="11" t="str">
        <f>VLOOKUP(A4,'Project Status'!C:K,8,FALSE)</f>
        <v>Active</v>
      </c>
      <c r="G4" s="11" t="str">
        <f>VLOOKUP(A4,'Project Status'!C:L,9,FALSE)</f>
        <v>Design</v>
      </c>
      <c r="H4" s="89">
        <f>VLOOKUP(A4,'Project Status'!C:N,11,FALSE)</f>
        <v>600000</v>
      </c>
      <c r="I4" s="173"/>
    </row>
    <row r="8" spans="1:11" x14ac:dyDescent="0.4">
      <c r="E8" s="41" t="s">
        <v>124</v>
      </c>
    </row>
    <row r="9" spans="1:11" x14ac:dyDescent="0.4">
      <c r="E9" s="22" t="s">
        <v>437</v>
      </c>
      <c r="F9" t="s">
        <v>139</v>
      </c>
      <c r="H9" s="42">
        <v>4500</v>
      </c>
    </row>
    <row r="10" spans="1:11" x14ac:dyDescent="0.4">
      <c r="E10" s="22" t="s">
        <v>437</v>
      </c>
      <c r="F10" t="s">
        <v>213</v>
      </c>
      <c r="H10" s="42">
        <v>34000</v>
      </c>
    </row>
    <row r="12" spans="1:11" x14ac:dyDescent="0.4">
      <c r="F12" s="10"/>
      <c r="G12" s="10"/>
      <c r="H12" s="45"/>
    </row>
    <row r="18" spans="5:8" x14ac:dyDescent="0.4">
      <c r="E18" s="136" t="s">
        <v>263</v>
      </c>
      <c r="F18" s="137"/>
      <c r="G18" s="136"/>
      <c r="H18" s="138">
        <f>SUM(H9:H17)</f>
        <v>38500</v>
      </c>
    </row>
    <row r="20" spans="5:8" x14ac:dyDescent="0.4">
      <c r="E20" s="139" t="s">
        <v>136</v>
      </c>
      <c r="F20" s="139"/>
      <c r="G20" s="139"/>
      <c r="H20" s="140">
        <f>H4-H18</f>
        <v>561500</v>
      </c>
    </row>
  </sheetData>
  <hyperlinks>
    <hyperlink ref="K1" location="'Project Status'!A1" display="'Project Status'!A1" xr:uid="{6A593F18-1579-43D5-9A10-9B2E0E15F34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8A04-F557-4BEB-A4C1-92583AFD49FF}">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20857</v>
      </c>
      <c r="B4" s="11">
        <f>VLOOKUP(A4,'Project Status'!C:D,2,FALSE)</f>
        <v>8427</v>
      </c>
      <c r="C4" s="11" t="str">
        <f>VLOOKUP(A4,'Project Status'!C:E,3,FALSE)</f>
        <v>CP_400227</v>
      </c>
      <c r="D4" s="11" t="str">
        <f>VLOOKUP(A4,'Project Status'!C:F,4,FALSE)</f>
        <v>21000 - Peabody College: Office of the Dean</v>
      </c>
      <c r="E4" s="11" t="str">
        <f>VLOOKUP(A4,'Project Status'!C:I,7,FALSE)</f>
        <v>One Magnolia Circle - Elevator Modernization</v>
      </c>
      <c r="F4" s="11" t="str">
        <f>VLOOKUP(A4,'Project Status'!C:K,8,FALSE)</f>
        <v>Active</v>
      </c>
      <c r="G4" s="11" t="str">
        <f>VLOOKUP(A4,'Project Status'!C:L,9,FALSE)</f>
        <v>Construction</v>
      </c>
      <c r="H4" s="89">
        <f>VLOOKUP(A4,'Project Status'!C:N,11,FALSE)</f>
        <v>499184</v>
      </c>
    </row>
    <row r="8" spans="1:11" x14ac:dyDescent="0.4">
      <c r="E8" s="41" t="s">
        <v>124</v>
      </c>
    </row>
    <row r="9" spans="1:11" x14ac:dyDescent="0.4">
      <c r="E9" s="22" t="s">
        <v>333</v>
      </c>
      <c r="F9" t="s">
        <v>139</v>
      </c>
      <c r="H9" s="42">
        <v>17600</v>
      </c>
    </row>
    <row r="10" spans="1:11" x14ac:dyDescent="0.4">
      <c r="E10" s="22" t="s">
        <v>351</v>
      </c>
      <c r="F10" t="s">
        <v>213</v>
      </c>
      <c r="H10" s="42">
        <v>4000</v>
      </c>
    </row>
    <row r="11" spans="1:11" x14ac:dyDescent="0.4">
      <c r="E11" s="22" t="s">
        <v>384</v>
      </c>
      <c r="F11" t="s">
        <v>146</v>
      </c>
      <c r="H11" s="42">
        <v>477584</v>
      </c>
    </row>
    <row r="12" spans="1:11" x14ac:dyDescent="0.4">
      <c r="F12" s="10"/>
      <c r="G12" s="10"/>
      <c r="H12" s="45"/>
    </row>
    <row r="18" spans="5:8" x14ac:dyDescent="0.4">
      <c r="E18" s="136" t="s">
        <v>263</v>
      </c>
      <c r="F18" s="137"/>
      <c r="G18" s="136"/>
      <c r="H18" s="138">
        <f>SUM(H9:H17)</f>
        <v>499184</v>
      </c>
    </row>
    <row r="20" spans="5:8" x14ac:dyDescent="0.4">
      <c r="E20" s="139" t="s">
        <v>136</v>
      </c>
      <c r="F20" s="139"/>
      <c r="G20" s="139"/>
      <c r="H20" s="140">
        <f>H4-H18</f>
        <v>0</v>
      </c>
    </row>
  </sheetData>
  <hyperlinks>
    <hyperlink ref="K1" location="'Project Status'!A1" display="'Project Status'!A1" xr:uid="{44D30970-1FF4-45A8-8754-6C4835EEDD6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9A07-3731-4540-82EA-837CB5DB24CB}">
  <sheetPr>
    <tabColor rgb="FFFFFF93"/>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20884</v>
      </c>
      <c r="B4" s="11">
        <f>VLOOKUP(A4,'Project Status'!C:D,2,FALSE)</f>
        <v>0</v>
      </c>
      <c r="C4" s="11" t="str">
        <f>VLOOKUP(A4,'Project Status'!C:E,3,FALSE)</f>
        <v>CP_400251</v>
      </c>
      <c r="D4" s="11" t="str">
        <f>VLOOKUP(A4,'Project Status'!C:F,4,FALSE)</f>
        <v>17100 - Law: Business Affairs</v>
      </c>
      <c r="E4" s="11" t="str">
        <f>VLOOKUP(A4,'Project Status'!C:I,7,FALSE)</f>
        <v>Law School - Exterior Window Painting</v>
      </c>
      <c r="F4" s="11" t="str">
        <f>VLOOKUP(A4,'Project Status'!C:K,8,FALSE)</f>
        <v>Active</v>
      </c>
      <c r="G4" s="11" t="str">
        <f>VLOOKUP(A4,'Project Status'!C:L,9,FALSE)</f>
        <v>Financial Closeout</v>
      </c>
      <c r="H4" s="89">
        <f>VLOOKUP(A4,'Project Status'!C:N,11,FALSE)</f>
        <v>675650</v>
      </c>
    </row>
    <row r="8" spans="1:11" x14ac:dyDescent="0.4">
      <c r="E8" s="41" t="s">
        <v>124</v>
      </c>
    </row>
    <row r="9" spans="1:11" x14ac:dyDescent="0.4">
      <c r="E9" s="22" t="s">
        <v>392</v>
      </c>
      <c r="F9" t="s">
        <v>146</v>
      </c>
      <c r="H9" s="42">
        <v>675650</v>
      </c>
      <c r="K9" s="42"/>
    </row>
    <row r="10" spans="1:11" x14ac:dyDescent="0.4">
      <c r="E10" s="22"/>
      <c r="H10" s="42"/>
    </row>
    <row r="12" spans="1:11" x14ac:dyDescent="0.4">
      <c r="F12" s="10"/>
      <c r="G12" s="10"/>
      <c r="H12" s="45"/>
    </row>
    <row r="18" spans="5:8" x14ac:dyDescent="0.4">
      <c r="E18" s="136" t="s">
        <v>263</v>
      </c>
      <c r="F18" s="137"/>
      <c r="G18" s="136"/>
      <c r="H18" s="138">
        <f>SUM(H9:H17)</f>
        <v>675650</v>
      </c>
    </row>
    <row r="20" spans="5:8" x14ac:dyDescent="0.4">
      <c r="E20" s="139" t="s">
        <v>136</v>
      </c>
      <c r="F20" s="139"/>
      <c r="G20" s="139"/>
      <c r="H20" s="140">
        <f>H4-H18</f>
        <v>0</v>
      </c>
    </row>
  </sheetData>
  <hyperlinks>
    <hyperlink ref="K1" location="'Project Status'!A1" display="'Project Status'!A1" xr:uid="{BB5CF889-9368-4270-A415-EC3CDD22E712}"/>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1536-9786-4DDC-9770-8B1EBD7CAD59}">
  <sheetPr>
    <tabColor theme="4"/>
  </sheetPr>
  <dimension ref="A1:K20"/>
  <sheetViews>
    <sheetView topLeftCell="C1" zoomScale="90" zoomScaleNormal="90" workbookViewId="0">
      <selection activeCell="K1" sqref="K1"/>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20885</v>
      </c>
      <c r="B4" s="11">
        <f>VLOOKUP(A4,'Project Status'!C:D,2,FALSE)</f>
        <v>8676</v>
      </c>
      <c r="C4" s="11">
        <f>VLOOKUP(A4,'Project Status'!C:E,3,FALSE)</f>
        <v>0</v>
      </c>
      <c r="D4" s="11" t="str">
        <f>VLOOKUP(A4,'Project Status'!C:F,4,FALSE)</f>
        <v>12000 - Arts and Science: Office of the Dean</v>
      </c>
      <c r="E4" s="11" t="str">
        <f>VLOOKUP(A4,'Project Status'!C:I,7,FALSE)</f>
        <v>NMR - Replace Air Compressors</v>
      </c>
      <c r="F4" s="11" t="str">
        <f>VLOOKUP(A4,'Project Status'!C:K,8,FALSE)</f>
        <v>Active</v>
      </c>
      <c r="G4" s="11" t="str">
        <f>VLOOKUP(A4,'Project Status'!C:L,9,FALSE)</f>
        <v>Construction</v>
      </c>
      <c r="H4" s="89">
        <f>VLOOKUP(A4,'Project Status'!C:N,11,FALSE)</f>
        <v>99000</v>
      </c>
    </row>
    <row r="8" spans="1:11" x14ac:dyDescent="0.4">
      <c r="E8" s="41" t="s">
        <v>124</v>
      </c>
    </row>
    <row r="9" spans="1:11" x14ac:dyDescent="0.4">
      <c r="E9" s="22" t="s">
        <v>367</v>
      </c>
      <c r="F9" t="s">
        <v>213</v>
      </c>
      <c r="H9" s="42">
        <v>98341</v>
      </c>
    </row>
    <row r="10" spans="1:11" x14ac:dyDescent="0.4">
      <c r="E10" s="22" t="s">
        <v>403</v>
      </c>
      <c r="F10" t="s">
        <v>146</v>
      </c>
      <c r="H10" s="42">
        <v>14712.4</v>
      </c>
    </row>
    <row r="11" spans="1:11" x14ac:dyDescent="0.4">
      <c r="E11" s="22" t="s">
        <v>442</v>
      </c>
      <c r="F11" t="s">
        <v>321</v>
      </c>
      <c r="H11" s="42">
        <v>30000</v>
      </c>
    </row>
    <row r="12" spans="1:11" x14ac:dyDescent="0.4">
      <c r="F12" s="10"/>
      <c r="G12" s="10"/>
      <c r="H12" s="45"/>
    </row>
    <row r="18" spans="5:8" x14ac:dyDescent="0.4">
      <c r="E18" s="136" t="s">
        <v>263</v>
      </c>
      <c r="F18" s="137"/>
      <c r="G18" s="136"/>
      <c r="H18" s="138">
        <f>SUM(H9:H17)</f>
        <v>143053.4</v>
      </c>
    </row>
    <row r="20" spans="5:8" x14ac:dyDescent="0.4">
      <c r="E20" s="139" t="s">
        <v>136</v>
      </c>
      <c r="F20" s="139"/>
      <c r="G20" s="139"/>
      <c r="H20" s="140">
        <f>H4-H18</f>
        <v>-44053.399999999994</v>
      </c>
    </row>
  </sheetData>
  <phoneticPr fontId="5" type="noConversion"/>
  <hyperlinks>
    <hyperlink ref="K1" location="'Project Status'!A1" display="'Project Status'!A1" xr:uid="{BBB58F13-EE47-4C84-86AC-49A8F38EFDC1}"/>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FA448-F662-4D3F-98EA-55FC35F50E0A}">
  <sheetPr>
    <tabColor rgb="FFFFFF93"/>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20911</v>
      </c>
      <c r="B4" s="11">
        <f>VLOOKUP(A4,'Project Status'!C:D,2,FALSE)</f>
        <v>8819</v>
      </c>
      <c r="C4" s="11">
        <f>VLOOKUP(A4,'Project Status'!C:E,3,FALSE)</f>
        <v>0</v>
      </c>
      <c r="D4" s="11" t="str">
        <f>VLOOKUP(A4,'Project Status'!C:F,4,FALSE)</f>
        <v>12000 - Arts and Science: Office of the Dean</v>
      </c>
      <c r="E4" s="11" t="str">
        <f>VLOOKUP(A4,'Project Status'!C:I,7,FALSE)</f>
        <v>Buttrick Hall - Elevator Upgrades</v>
      </c>
      <c r="F4" s="11" t="str">
        <f>VLOOKUP(A4,'Project Status'!C:K,8,FALSE)</f>
        <v>Active</v>
      </c>
      <c r="G4" s="11" t="str">
        <f>VLOOKUP(A4,'Project Status'!C:L,9,FALSE)</f>
        <v>Warranty or Construction Closeout</v>
      </c>
      <c r="H4" s="89">
        <f>VLOOKUP(A4,'Project Status'!C:N,11,FALSE)</f>
        <v>61045</v>
      </c>
    </row>
    <row r="8" spans="1:11" x14ac:dyDescent="0.4">
      <c r="E8" s="41" t="s">
        <v>124</v>
      </c>
    </row>
    <row r="9" spans="1:11" x14ac:dyDescent="0.4">
      <c r="E9" s="22" t="s">
        <v>367</v>
      </c>
      <c r="F9" t="s">
        <v>139</v>
      </c>
      <c r="H9" s="42">
        <v>4100</v>
      </c>
    </row>
    <row r="10" spans="1:11" x14ac:dyDescent="0.4">
      <c r="E10" s="22" t="s">
        <v>384</v>
      </c>
      <c r="F10" t="s">
        <v>213</v>
      </c>
      <c r="H10" s="42">
        <v>56945</v>
      </c>
    </row>
    <row r="12" spans="1:11" x14ac:dyDescent="0.4">
      <c r="F12" s="10"/>
      <c r="G12" s="10"/>
      <c r="H12" s="45"/>
    </row>
    <row r="18" spans="5:8" x14ac:dyDescent="0.4">
      <c r="E18" s="136" t="s">
        <v>263</v>
      </c>
      <c r="F18" s="137"/>
      <c r="G18" s="136"/>
      <c r="H18" s="138">
        <f>SUM(H9:H17)</f>
        <v>61045</v>
      </c>
    </row>
    <row r="20" spans="5:8" x14ac:dyDescent="0.4">
      <c r="E20" s="139" t="s">
        <v>136</v>
      </c>
      <c r="F20" s="139"/>
      <c r="G20" s="139"/>
      <c r="H20" s="140">
        <f>H4-H18</f>
        <v>0</v>
      </c>
    </row>
  </sheetData>
  <hyperlinks>
    <hyperlink ref="K1" location="'Project Status'!A1" display="'Project Status'!A1" xr:uid="{35E76966-DD8F-4772-BA40-8D915A539AE1}"/>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1DB6-B120-4352-AFB9-C529CE0F00D7}">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20912</v>
      </c>
      <c r="B4" s="11">
        <f>VLOOKUP(A4,'Project Status'!C:D,2,FALSE)</f>
        <v>8822</v>
      </c>
      <c r="C4" s="11">
        <f>VLOOKUP(A4,'Project Status'!C:E,3,FALSE)</f>
        <v>0</v>
      </c>
      <c r="D4" s="11" t="str">
        <f>VLOOKUP(A4,'Project Status'!C:F,4,FALSE)</f>
        <v>12000 - Arts and Science: Office of the Dean</v>
      </c>
      <c r="E4" s="11" t="str">
        <f>VLOOKUP(A4,'Project Status'!C:I,7,FALSE)</f>
        <v>Benson Hall - Elevator Upgrades</v>
      </c>
      <c r="F4" s="11" t="str">
        <f>VLOOKUP(A4,'Project Status'!C:K,8,FALSE)</f>
        <v>Active</v>
      </c>
      <c r="G4" s="11" t="str">
        <f>VLOOKUP(A4,'Project Status'!C:L,9,FALSE)</f>
        <v>Warranty or Construction Closeout</v>
      </c>
      <c r="H4" s="89">
        <f>VLOOKUP(A4,'Project Status'!C:N,11,FALSE)</f>
        <v>59798</v>
      </c>
    </row>
    <row r="8" spans="1:11" x14ac:dyDescent="0.4">
      <c r="E8" s="41" t="s">
        <v>124</v>
      </c>
    </row>
    <row r="9" spans="1:11" x14ac:dyDescent="0.4">
      <c r="E9" s="22" t="s">
        <v>367</v>
      </c>
      <c r="F9" t="s">
        <v>139</v>
      </c>
      <c r="H9" s="42">
        <v>4100</v>
      </c>
    </row>
    <row r="10" spans="1:11" x14ac:dyDescent="0.4">
      <c r="E10" s="22" t="s">
        <v>384</v>
      </c>
      <c r="F10" t="s">
        <v>213</v>
      </c>
      <c r="H10" s="42">
        <v>55698</v>
      </c>
    </row>
    <row r="12" spans="1:11" x14ac:dyDescent="0.4">
      <c r="F12" s="10"/>
      <c r="G12" s="10"/>
      <c r="H12" s="45"/>
    </row>
    <row r="18" spans="5:8" x14ac:dyDescent="0.4">
      <c r="E18" s="136" t="s">
        <v>263</v>
      </c>
      <c r="F18" s="137"/>
      <c r="G18" s="136"/>
      <c r="H18" s="138">
        <f>SUM(H9:H17)</f>
        <v>59798</v>
      </c>
    </row>
    <row r="20" spans="5:8" x14ac:dyDescent="0.4">
      <c r="E20" s="139" t="s">
        <v>136</v>
      </c>
      <c r="F20" s="139"/>
      <c r="G20" s="139"/>
      <c r="H20" s="140">
        <f>H4-H18</f>
        <v>0</v>
      </c>
    </row>
  </sheetData>
  <hyperlinks>
    <hyperlink ref="K1" location="'Project Status'!A1" display="'Project Status'!A1" xr:uid="{76797D86-7F8C-45BA-941C-B03DD87AC22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Q25"/>
  <sheetViews>
    <sheetView zoomScaleNormal="100" workbookViewId="0">
      <pane xSplit="2" ySplit="4" topLeftCell="E5" activePane="bottomRight" state="frozen"/>
      <selection pane="topRight" activeCell="C1" sqref="C1"/>
      <selection pane="bottomLeft" activeCell="A5" sqref="A5"/>
      <selection pane="bottomRight" activeCell="A25" sqref="A25"/>
    </sheetView>
  </sheetViews>
  <sheetFormatPr defaultRowHeight="14.6" x14ac:dyDescent="0.4"/>
  <cols>
    <col min="1" max="1" width="26.07421875" customWidth="1"/>
    <col min="2" max="2" width="12.53515625" hidden="1" customWidth="1"/>
    <col min="3" max="17" width="13.84375" customWidth="1"/>
  </cols>
  <sheetData>
    <row r="1" spans="1:17" s="8" customFormat="1" x14ac:dyDescent="0.4">
      <c r="A1" s="74" t="s">
        <v>191</v>
      </c>
      <c r="B1"/>
      <c r="D1"/>
      <c r="E1"/>
      <c r="F1"/>
      <c r="G1"/>
      <c r="H1"/>
      <c r="I1"/>
      <c r="J1"/>
      <c r="K1"/>
      <c r="L1"/>
      <c r="M1"/>
      <c r="N1"/>
      <c r="O1"/>
      <c r="P1"/>
      <c r="Q1"/>
    </row>
    <row r="2" spans="1:17" s="8" customFormat="1" x14ac:dyDescent="0.4">
      <c r="A2" s="20"/>
      <c r="B2" s="33"/>
      <c r="C2"/>
      <c r="D2"/>
      <c r="E2"/>
      <c r="F2"/>
      <c r="G2"/>
      <c r="H2"/>
      <c r="I2"/>
      <c r="J2"/>
      <c r="K2"/>
      <c r="L2"/>
      <c r="M2"/>
      <c r="N2"/>
      <c r="O2"/>
      <c r="P2"/>
      <c r="Q2"/>
    </row>
    <row r="3" spans="1:17" ht="15" thickBot="1" x14ac:dyDescent="0.45"/>
    <row r="4" spans="1:17" ht="43.95" customHeight="1" x14ac:dyDescent="0.4">
      <c r="A4" s="23" t="s">
        <v>86</v>
      </c>
      <c r="B4" s="23" t="s">
        <v>99</v>
      </c>
      <c r="C4" s="122" t="s">
        <v>245</v>
      </c>
      <c r="D4" s="123" t="s">
        <v>305</v>
      </c>
      <c r="E4" s="124" t="s">
        <v>122</v>
      </c>
      <c r="F4" s="123" t="s">
        <v>304</v>
      </c>
      <c r="G4" s="125" t="s">
        <v>243</v>
      </c>
      <c r="H4" s="122" t="s">
        <v>246</v>
      </c>
      <c r="I4" s="123" t="s">
        <v>409</v>
      </c>
      <c r="J4" s="124" t="s">
        <v>122</v>
      </c>
      <c r="K4" s="123" t="s">
        <v>410</v>
      </c>
      <c r="L4" s="125" t="s">
        <v>244</v>
      </c>
      <c r="M4" s="122" t="s">
        <v>411</v>
      </c>
      <c r="N4" s="123" t="s">
        <v>412</v>
      </c>
      <c r="O4" s="124" t="s">
        <v>122</v>
      </c>
      <c r="P4" s="123" t="s">
        <v>414</v>
      </c>
      <c r="Q4" s="125" t="s">
        <v>415</v>
      </c>
    </row>
    <row r="5" spans="1:17" x14ac:dyDescent="0.4">
      <c r="A5" t="s">
        <v>194</v>
      </c>
      <c r="B5" s="21">
        <f>Contributions!B5</f>
        <v>1075461.7320675128</v>
      </c>
      <c r="C5" s="126">
        <f>Contributions!C5/1000000</f>
        <v>3.6638259999999998</v>
      </c>
      <c r="D5" s="127">
        <f>SUMIF('Project Status'!G:G,'Shared Building Allocation'!A5,'Project Status'!S:S)/1000000</f>
        <v>1.7179739999999999</v>
      </c>
      <c r="E5" s="128">
        <f>D22/1000000</f>
        <v>0.55831562499999998</v>
      </c>
      <c r="F5" s="127">
        <f>D5+E5</f>
        <v>2.276289625</v>
      </c>
      <c r="G5" s="129">
        <f>C5-F5</f>
        <v>1.3875363749999998</v>
      </c>
      <c r="H5" s="126">
        <f>Contributions!G5/1000000</f>
        <v>4.2048135899999997</v>
      </c>
      <c r="I5" s="127">
        <f>SUMIF('Project Status'!G:G,'Shared Building Allocation'!A5,'Project Status'!T:T)/1000000</f>
        <v>2.6287729900000003</v>
      </c>
      <c r="J5" s="128">
        <f>I22/1000000</f>
        <v>-9.4282859999999975E-3</v>
      </c>
      <c r="K5" s="127">
        <f t="shared" ref="K5:K13" si="0">I5+J5</f>
        <v>2.6193447040000004</v>
      </c>
      <c r="L5" s="129">
        <f>H5-K5</f>
        <v>1.5854688859999992</v>
      </c>
      <c r="M5" s="126">
        <f>Contributions!K5/1000000</f>
        <v>4.8792291409590094</v>
      </c>
      <c r="N5" s="127">
        <f>SUMIF('Project Status'!G:G,'Shared Building Allocation'!A5,'Project Status'!W:W)/1000000</f>
        <v>2.496254</v>
      </c>
      <c r="O5" s="128">
        <f>N22/1000000</f>
        <v>0.538825</v>
      </c>
      <c r="P5" s="127">
        <f t="shared" ref="P5:P13" si="1">N5+O5</f>
        <v>3.0350790000000001</v>
      </c>
      <c r="Q5" s="129">
        <f t="shared" ref="Q5:Q13" si="2">M5-P5</f>
        <v>1.8441501409590093</v>
      </c>
    </row>
    <row r="6" spans="1:17" x14ac:dyDescent="0.4">
      <c r="A6" t="s">
        <v>196</v>
      </c>
      <c r="B6" s="21">
        <f>Contributions!B6</f>
        <v>121421.42689276834</v>
      </c>
      <c r="C6" s="126">
        <f>Contributions!C6/1000000</f>
        <v>0.41365200000000002</v>
      </c>
      <c r="D6" s="127">
        <f>SUMIF('Project Status'!G:G,'Shared Building Allocation'!A6,'Project Status'!S:S)/1000000</f>
        <v>0.57428999999999997</v>
      </c>
      <c r="E6" s="128"/>
      <c r="F6" s="127">
        <f t="shared" ref="F6:F13" si="3">D6+E6</f>
        <v>0.57428999999999997</v>
      </c>
      <c r="G6" s="129">
        <f t="shared" ref="G6:G13" si="4">C6-F6</f>
        <v>-0.16063799999999995</v>
      </c>
      <c r="H6" s="126">
        <f>Contributions!G6/1000000</f>
        <v>0.48204136999999997</v>
      </c>
      <c r="I6" s="127">
        <f>SUMIF('Project Status'!G:G,'Shared Building Allocation'!A6,'Project Status'!T:T)/1000000</f>
        <v>1.9168099999999999</v>
      </c>
      <c r="J6" s="128"/>
      <c r="K6" s="127">
        <f>I6+J6</f>
        <v>1.9168099999999999</v>
      </c>
      <c r="L6" s="129">
        <f t="shared" ref="L6:L13" si="5">H6-K6</f>
        <v>-1.43476863</v>
      </c>
      <c r="M6" s="126">
        <f>Contributions!K6/1000000</f>
        <v>0.60113591179653203</v>
      </c>
      <c r="N6" s="127">
        <f>SUMIF('Project Status'!G:G,'Shared Building Allocation'!A6,'Project Status'!W:W)/1000000</f>
        <v>1.077</v>
      </c>
      <c r="O6" s="128"/>
      <c r="P6" s="127">
        <f t="shared" si="1"/>
        <v>1.077</v>
      </c>
      <c r="Q6" s="129">
        <f t="shared" si="2"/>
        <v>-0.47586408820346793</v>
      </c>
    </row>
    <row r="7" spans="1:17" x14ac:dyDescent="0.4">
      <c r="A7" t="s">
        <v>197</v>
      </c>
      <c r="B7" s="21">
        <f>Contributions!B7</f>
        <v>57814.730923479161</v>
      </c>
      <c r="C7" s="126">
        <f>Contributions!C7/1000000</f>
        <v>0.19696</v>
      </c>
      <c r="D7" s="127">
        <f>SUMIF('Project Status'!G:G,'Shared Building Allocation'!A7,'Project Status'!S:S)/1000000</f>
        <v>9.6362500000000004E-2</v>
      </c>
      <c r="E7" s="128"/>
      <c r="F7" s="127">
        <f t="shared" si="3"/>
        <v>9.6362500000000004E-2</v>
      </c>
      <c r="G7" s="129">
        <f t="shared" si="4"/>
        <v>0.10059749999999999</v>
      </c>
      <c r="H7" s="126">
        <f>Contributions!G7/1000000</f>
        <v>0.23130411000000001</v>
      </c>
      <c r="I7" s="127">
        <f>SUMIF('Project Status'!G:G,'Shared Building Allocation'!A7,'Project Status'!T:T)/1000000</f>
        <v>3.6603599999999998</v>
      </c>
      <c r="J7" s="128"/>
      <c r="K7" s="127">
        <f t="shared" si="0"/>
        <v>3.6603599999999998</v>
      </c>
      <c r="L7" s="129">
        <f t="shared" si="5"/>
        <v>-3.4290558899999999</v>
      </c>
      <c r="M7" s="126">
        <f>Contributions!K7/1000000</f>
        <v>0.26451489378588094</v>
      </c>
      <c r="N7" s="127">
        <f>SUMIF('Project Status'!G:G,'Shared Building Allocation'!A7,'Project Status'!W:W)/1000000</f>
        <v>0</v>
      </c>
      <c r="O7" s="128"/>
      <c r="P7" s="127">
        <f t="shared" si="1"/>
        <v>0</v>
      </c>
      <c r="Q7" s="129">
        <f t="shared" si="2"/>
        <v>0.26451489378588094</v>
      </c>
    </row>
    <row r="8" spans="1:17" x14ac:dyDescent="0.4">
      <c r="A8" t="s">
        <v>198</v>
      </c>
      <c r="B8" s="21">
        <f>Contributions!B8</f>
        <v>537962.332719445</v>
      </c>
      <c r="C8" s="126">
        <f>Contributions!C8/1000000</f>
        <v>1.8327009999999999</v>
      </c>
      <c r="D8" s="127">
        <f>SUMIF('Project Status'!G:G,'Shared Building Allocation'!A8,'Project Status'!S:S)/1000000</f>
        <v>0.35299999999999998</v>
      </c>
      <c r="E8" s="128"/>
      <c r="F8" s="127">
        <f t="shared" si="3"/>
        <v>0.35299999999999998</v>
      </c>
      <c r="G8" s="129">
        <f t="shared" si="4"/>
        <v>1.4797009999999999</v>
      </c>
      <c r="H8" s="126">
        <f>Contributions!G8/1000000</f>
        <v>2.1933376600000001</v>
      </c>
      <c r="I8" s="127">
        <f>SUMIF('Project Status'!G:G,'Shared Building Allocation'!A8,'Project Status'!T:T)/1000000</f>
        <v>2.4933E-2</v>
      </c>
      <c r="J8" s="128"/>
      <c r="K8" s="127">
        <f t="shared" si="0"/>
        <v>2.4933E-2</v>
      </c>
      <c r="L8" s="129">
        <f t="shared" si="5"/>
        <v>2.1684046600000002</v>
      </c>
      <c r="M8" s="126">
        <f>Contributions!K8/1000000</f>
        <v>2.4895745342513158</v>
      </c>
      <c r="N8" s="127">
        <f>SUMIF('Project Status'!G:G,'Shared Building Allocation'!A8,'Project Status'!W:W)/1000000</f>
        <v>2.3084086400000001</v>
      </c>
      <c r="O8" s="128"/>
      <c r="P8" s="127">
        <f t="shared" si="1"/>
        <v>2.3084086400000001</v>
      </c>
      <c r="Q8" s="129">
        <f t="shared" si="2"/>
        <v>0.18116589425131568</v>
      </c>
    </row>
    <row r="9" spans="1:17" x14ac:dyDescent="0.4">
      <c r="A9" t="s">
        <v>199</v>
      </c>
      <c r="B9" s="21">
        <f>Contributions!B9</f>
        <v>120155.48460329951</v>
      </c>
      <c r="C9" s="126">
        <f>Contributions!C9/1000000</f>
        <v>0.40933900000000001</v>
      </c>
      <c r="D9" s="127">
        <f>SUMIF('Project Status'!G:G,'Shared Building Allocation'!A9,'Project Status'!S:S)/1000000</f>
        <v>1.2061345000000001</v>
      </c>
      <c r="E9" s="128"/>
      <c r="F9" s="127">
        <f t="shared" si="3"/>
        <v>1.2061345000000001</v>
      </c>
      <c r="G9" s="129">
        <f t="shared" si="4"/>
        <v>-0.7967955000000001</v>
      </c>
      <c r="H9" s="126">
        <f>Contributions!G9/1000000</f>
        <v>0.47701535000000006</v>
      </c>
      <c r="I9" s="127">
        <f>SUMIF('Project Status'!G:G,'Shared Building Allocation'!A9,'Project Status'!T:T)/1000000</f>
        <v>0.66115999999999997</v>
      </c>
      <c r="J9" s="128"/>
      <c r="K9" s="127">
        <f t="shared" si="0"/>
        <v>0.66115999999999997</v>
      </c>
      <c r="L9" s="129">
        <f t="shared" si="5"/>
        <v>-0.18414464999999991</v>
      </c>
      <c r="M9" s="126">
        <f>Contributions!K9/1000000</f>
        <v>0.54146471306926902</v>
      </c>
      <c r="N9" s="127">
        <f>SUMIF('Project Status'!G:G,'Shared Building Allocation'!A9,'Project Status'!W:W)/1000000</f>
        <v>0.16085914000000001</v>
      </c>
      <c r="O9" s="128"/>
      <c r="P9" s="127">
        <f t="shared" si="1"/>
        <v>0.16085914000000001</v>
      </c>
      <c r="Q9" s="129">
        <f t="shared" si="2"/>
        <v>0.38060557306926901</v>
      </c>
    </row>
    <row r="10" spans="1:17" x14ac:dyDescent="0.4">
      <c r="A10" t="s">
        <v>201</v>
      </c>
      <c r="B10" s="21">
        <f>Contributions!B10</f>
        <v>280022.39987629937</v>
      </c>
      <c r="C10" s="126">
        <f>Contributions!C10/1000000</f>
        <v>0.95396499999999995</v>
      </c>
      <c r="D10" s="127">
        <f>SUMIF('Project Status'!G:G,'Shared Building Allocation'!A10,'Project Status'!S:S)/1000000</f>
        <v>1.5951875</v>
      </c>
      <c r="E10" s="128">
        <f>-D22/1000000</f>
        <v>-0.55831562499999998</v>
      </c>
      <c r="F10" s="127">
        <f t="shared" si="3"/>
        <v>1.0368718750000001</v>
      </c>
      <c r="G10" s="129">
        <f t="shared" si="4"/>
        <v>-8.2906875000000158E-2</v>
      </c>
      <c r="H10" s="126">
        <f>Contributions!G10/1000000</f>
        <v>1.0547257800000001</v>
      </c>
      <c r="I10" s="127">
        <f>SUMIF('Project Status'!G:G,'Shared Building Allocation'!A10,'Project Status'!T:T)/1000000</f>
        <v>-2.693796E-2</v>
      </c>
      <c r="J10" s="128">
        <f>-I22/1000000</f>
        <v>9.4282859999999975E-3</v>
      </c>
      <c r="K10" s="127">
        <f t="shared" si="0"/>
        <v>-1.7509674000000003E-2</v>
      </c>
      <c r="L10" s="129">
        <f t="shared" si="5"/>
        <v>1.0722354540000001</v>
      </c>
      <c r="M10" s="126">
        <f>Contributions!K10/1000000</f>
        <v>1.4329847751475155</v>
      </c>
      <c r="N10" s="127">
        <f>SUMIF('Project Status'!G:G,'Shared Building Allocation'!A10,'Project Status'!W:W)/1000000</f>
        <v>1.5395000000000001</v>
      </c>
      <c r="O10" s="128">
        <f>-N22/1000000</f>
        <v>-0.538825</v>
      </c>
      <c r="P10" s="127">
        <f t="shared" si="1"/>
        <v>1.0006750000000002</v>
      </c>
      <c r="Q10" s="129">
        <f t="shared" si="2"/>
        <v>0.43230977514751534</v>
      </c>
    </row>
    <row r="11" spans="1:17" x14ac:dyDescent="0.4">
      <c r="A11" t="s">
        <v>200</v>
      </c>
      <c r="B11" s="21">
        <f>Contributions!B11</f>
        <v>106166.70000000001</v>
      </c>
      <c r="C11" s="126">
        <f>Contributions!C11/1000000</f>
        <v>0.36168299999999998</v>
      </c>
      <c r="D11" s="127">
        <f>SUMIF('Project Status'!G:G,'Shared Building Allocation'!A11,'Project Status'!S:S)/1000000</f>
        <v>4.8999999999999998E-3</v>
      </c>
      <c r="E11" s="128"/>
      <c r="F11" s="127">
        <f t="shared" si="3"/>
        <v>4.8999999999999998E-3</v>
      </c>
      <c r="G11" s="129">
        <f t="shared" si="4"/>
        <v>0.35678299999999996</v>
      </c>
      <c r="H11" s="126">
        <f>Contributions!G11/1000000</f>
        <v>0.41981162</v>
      </c>
      <c r="I11" s="127">
        <f>SUMIF('Project Status'!G:G,'Shared Building Allocation'!A11,'Project Status'!T:T)/1000000</f>
        <v>0.28652699999999998</v>
      </c>
      <c r="J11" s="128"/>
      <c r="K11" s="127">
        <f t="shared" si="0"/>
        <v>0.28652699999999998</v>
      </c>
      <c r="L11" s="129">
        <f t="shared" si="5"/>
        <v>0.13328462000000002</v>
      </c>
      <c r="M11" s="126">
        <f>Contributions!K11/1000000</f>
        <v>0.48008870140000004</v>
      </c>
      <c r="N11" s="127">
        <f>SUMIF('Project Status'!G:G,'Shared Building Allocation'!A11,'Project Status'!W:W)/1000000</f>
        <v>0</v>
      </c>
      <c r="O11" s="128"/>
      <c r="P11" s="127">
        <f t="shared" si="1"/>
        <v>0</v>
      </c>
      <c r="Q11" s="129">
        <f t="shared" si="2"/>
        <v>0.48008870140000004</v>
      </c>
    </row>
    <row r="12" spans="1:17" x14ac:dyDescent="0.4">
      <c r="A12" t="s">
        <v>195</v>
      </c>
      <c r="B12" s="21">
        <f>Contributions!B12</f>
        <v>59008.361666666671</v>
      </c>
      <c r="C12" s="126">
        <f>Contributions!C12/1000000</f>
        <v>0.20102700000000001</v>
      </c>
      <c r="D12" s="127">
        <f>SUMIF('Project Status'!G:G,'Shared Building Allocation'!A12,'Project Status'!S:S)/1000000</f>
        <v>0.3</v>
      </c>
      <c r="E12" s="128"/>
      <c r="F12" s="127">
        <f t="shared" si="3"/>
        <v>0.3</v>
      </c>
      <c r="G12" s="129">
        <f t="shared" si="4"/>
        <v>-9.8972999999999978E-2</v>
      </c>
      <c r="H12" s="126">
        <f>Contributions!G12/1000000</f>
        <v>0.39358580000000004</v>
      </c>
      <c r="I12" s="127">
        <f>SUMIF('Project Status'!G:G,'Shared Building Allocation'!A12,'Project Status'!T:T)/1000000</f>
        <v>1.5765</v>
      </c>
      <c r="J12" s="128"/>
      <c r="K12" s="127">
        <f t="shared" si="0"/>
        <v>1.5765</v>
      </c>
      <c r="L12" s="129">
        <f t="shared" si="5"/>
        <v>-1.1829141999999999</v>
      </c>
      <c r="M12" s="126">
        <f>Contributions!K12/1000000</f>
        <v>0.45217670352139844</v>
      </c>
      <c r="N12" s="127">
        <f>SUMIF('Project Status'!G:G,'Shared Building Allocation'!A12,'Project Status'!W:W)/1000000</f>
        <v>1.6</v>
      </c>
      <c r="O12" s="128"/>
      <c r="P12" s="127">
        <f t="shared" si="1"/>
        <v>1.6</v>
      </c>
      <c r="Q12" s="129">
        <f t="shared" si="2"/>
        <v>-1.1478232964786017</v>
      </c>
    </row>
    <row r="13" spans="1:17" x14ac:dyDescent="0.4">
      <c r="A13" t="s">
        <v>202</v>
      </c>
      <c r="B13" s="21">
        <f>Contributions!B13</f>
        <v>390796.88477064227</v>
      </c>
      <c r="C13" s="126">
        <f>Contributions!C13/1000000</f>
        <v>1.3313459999999999</v>
      </c>
      <c r="D13" s="127">
        <f>SUMIF('Project Status'!G:G,'Shared Building Allocation'!A13,'Project Status'!S:S)/1000000</f>
        <v>2.9494377599999999</v>
      </c>
      <c r="E13" s="128"/>
      <c r="F13" s="127">
        <f t="shared" si="3"/>
        <v>2.9494377599999999</v>
      </c>
      <c r="G13" s="129">
        <f t="shared" si="4"/>
        <v>-1.61809176</v>
      </c>
      <c r="H13" s="126">
        <f>Contributions!G13/1000000</f>
        <v>1.57264801</v>
      </c>
      <c r="I13" s="127">
        <f>SUMIF('Project Status'!G:G,'Shared Building Allocation'!A13,'Project Status'!T:T)/1000000</f>
        <v>0.60034790999999998</v>
      </c>
      <c r="J13" s="128"/>
      <c r="K13" s="127">
        <f t="shared" si="0"/>
        <v>0.60034790999999998</v>
      </c>
      <c r="L13" s="129">
        <f t="shared" si="5"/>
        <v>0.9723001</v>
      </c>
      <c r="M13" s="126">
        <f>Contributions!K13/1000000</f>
        <v>1.7161150883343224</v>
      </c>
      <c r="N13" s="127">
        <f>SUMIF('Project Status'!G:G,'Shared Building Allocation'!A13,'Project Status'!W:W)/1000000</f>
        <v>0</v>
      </c>
      <c r="O13" s="128"/>
      <c r="P13" s="127">
        <f t="shared" si="1"/>
        <v>0</v>
      </c>
      <c r="Q13" s="129">
        <f t="shared" si="2"/>
        <v>1.7161150883343224</v>
      </c>
    </row>
    <row r="14" spans="1:17" ht="15" thickBot="1" x14ac:dyDescent="0.45">
      <c r="A14" s="24"/>
      <c r="B14" s="24">
        <v>2748810.0535201132</v>
      </c>
      <c r="C14" s="130">
        <f>SUM(C5:C13)</f>
        <v>9.3644990000000004</v>
      </c>
      <c r="D14" s="131">
        <f>SUM(D5:D13)</f>
        <v>8.7972862599999999</v>
      </c>
      <c r="E14" s="132"/>
      <c r="F14" s="131">
        <f>SUM(F5:F13)</f>
        <v>8.7972862599999999</v>
      </c>
      <c r="G14" s="133">
        <f>SUM(G5:G13)</f>
        <v>0.56721273999999955</v>
      </c>
      <c r="H14" s="130">
        <f>SUM(H5:H13)</f>
        <v>11.02928329</v>
      </c>
      <c r="I14" s="131">
        <f>SUM(I5:I13)</f>
        <v>11.328472940000001</v>
      </c>
      <c r="J14" s="132"/>
      <c r="K14" s="131">
        <f>SUM(K5:K13)</f>
        <v>11.328472940000001</v>
      </c>
      <c r="L14" s="133">
        <f>SUM(L5:L13)</f>
        <v>-0.29918964999999997</v>
      </c>
      <c r="M14" s="130">
        <f>SUM(M5:M13)</f>
        <v>12.857284462265245</v>
      </c>
      <c r="N14" s="131">
        <f>SUM(N5:N13)</f>
        <v>9.1820217800000012</v>
      </c>
      <c r="O14" s="132"/>
      <c r="P14" s="131">
        <f>SUM(P5:P13)</f>
        <v>9.1820217799999995</v>
      </c>
      <c r="Q14" s="133">
        <f>SUM(Q5:Q13)</f>
        <v>3.6752626822652426</v>
      </c>
    </row>
    <row r="16" spans="1:17" x14ac:dyDescent="0.4">
      <c r="I16" s="35"/>
      <c r="N16" s="35"/>
    </row>
    <row r="17" spans="1:14" x14ac:dyDescent="0.4">
      <c r="I17" s="35"/>
      <c r="N17" s="35"/>
    </row>
    <row r="18" spans="1:14" x14ac:dyDescent="0.4">
      <c r="A18" s="20" t="s">
        <v>118</v>
      </c>
    </row>
    <row r="19" spans="1:14" s="20" customFormat="1" x14ac:dyDescent="0.4">
      <c r="D19" s="29" t="s">
        <v>302</v>
      </c>
      <c r="I19" s="29" t="s">
        <v>303</v>
      </c>
      <c r="N19" s="29" t="s">
        <v>413</v>
      </c>
    </row>
    <row r="20" spans="1:14" s="20" customFormat="1" x14ac:dyDescent="0.4">
      <c r="A20" s="234" t="s">
        <v>147</v>
      </c>
      <c r="D20" s="30">
        <f>SUMIF('Project Status'!H:H,'Shared Building Allocation'!A20,'Project Status'!S:S)</f>
        <v>1595187.5</v>
      </c>
      <c r="I20" s="30">
        <f>SUMIF('Project Status'!H:H,'Shared Building Allocation'!A20,'Project Status'!T:T)</f>
        <v>-26937.96</v>
      </c>
      <c r="N20" s="30">
        <f>SUMIF('Project Status'!H:H,'Shared Building Allocation'!A20,'Project Status'!W:W)</f>
        <v>1539500</v>
      </c>
    </row>
    <row r="21" spans="1:14" s="20" customFormat="1" ht="6.45" customHeight="1" x14ac:dyDescent="0.4">
      <c r="D21" s="30"/>
      <c r="I21" s="30"/>
      <c r="N21" s="30"/>
    </row>
    <row r="22" spans="1:14" s="20" customFormat="1" x14ac:dyDescent="0.4">
      <c r="A22" s="32" t="s">
        <v>120</v>
      </c>
      <c r="D22" s="30">
        <f>D20*0.35</f>
        <v>558315.625</v>
      </c>
      <c r="I22" s="30">
        <f>I20*0.35</f>
        <v>-9428.2859999999982</v>
      </c>
      <c r="N22" s="30">
        <f>N20*0.35</f>
        <v>538825</v>
      </c>
    </row>
    <row r="23" spans="1:14" s="20" customFormat="1" x14ac:dyDescent="0.4">
      <c r="A23" s="32" t="s">
        <v>121</v>
      </c>
      <c r="D23" s="30">
        <f>D20*0.65</f>
        <v>1036871.875</v>
      </c>
      <c r="I23" s="30">
        <f>I20*0.65</f>
        <v>-17509.673999999999</v>
      </c>
      <c r="N23" s="30">
        <f>N20*0.65</f>
        <v>1000675</v>
      </c>
    </row>
    <row r="24" spans="1:14" s="20" customFormat="1" x14ac:dyDescent="0.4">
      <c r="D24" s="31">
        <f>SUM(D22:D23)</f>
        <v>1595187.5</v>
      </c>
      <c r="I24" s="31">
        <f>SUM(I22:I23)</f>
        <v>-26937.96</v>
      </c>
      <c r="N24" s="31">
        <f>SUM(N22:N23)</f>
        <v>1539500</v>
      </c>
    </row>
    <row r="25" spans="1:14" s="20" customFormat="1" x14ac:dyDescent="0.4"/>
  </sheetData>
  <pageMargins left="0.7" right="0.7" top="0.75" bottom="0.75" header="0.3" footer="0.3"/>
  <pageSetup orientation="landscape" horizontalDpi="4294967295" verticalDpi="4294967295"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23B0B-4EBF-476B-BB3C-26DC893C8FE7}">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20913</v>
      </c>
      <c r="B4" s="11">
        <f>VLOOKUP(A4,'Project Status'!C:D,2,FALSE)</f>
        <v>8818</v>
      </c>
      <c r="C4" s="11">
        <f>VLOOKUP(A4,'Project Status'!C:E,3,FALSE)</f>
        <v>0</v>
      </c>
      <c r="D4" s="11" t="str">
        <f>VLOOKUP(A4,'Project Status'!C:F,4,FALSE)</f>
        <v>12000 - Arts and Science: Office of the Dean</v>
      </c>
      <c r="E4" s="11" t="str">
        <f>VLOOKUP(A4,'Project Status'!C:I,7,FALSE)</f>
        <v>Wilson Hall - Elevator Upgrades</v>
      </c>
      <c r="F4" s="11" t="str">
        <f>VLOOKUP(A4,'Project Status'!C:K,8,FALSE)</f>
        <v>Active</v>
      </c>
      <c r="G4" s="11" t="str">
        <f>VLOOKUP(A4,'Project Status'!C:L,9,FALSE)</f>
        <v>Warranty or Construction Closeout</v>
      </c>
      <c r="H4" s="89">
        <f>VLOOKUP(A4,'Project Status'!C:N,11,FALSE)</f>
        <v>96612</v>
      </c>
    </row>
    <row r="8" spans="1:11" x14ac:dyDescent="0.4">
      <c r="E8" s="41" t="s">
        <v>124</v>
      </c>
    </row>
    <row r="9" spans="1:11" x14ac:dyDescent="0.4">
      <c r="E9" s="22" t="s">
        <v>367</v>
      </c>
      <c r="F9" t="s">
        <v>139</v>
      </c>
      <c r="H9" s="42">
        <v>4100</v>
      </c>
    </row>
    <row r="10" spans="1:11" x14ac:dyDescent="0.4">
      <c r="E10" s="22" t="s">
        <v>384</v>
      </c>
      <c r="F10" t="s">
        <v>213</v>
      </c>
      <c r="H10" s="42">
        <v>92512</v>
      </c>
    </row>
    <row r="12" spans="1:11" x14ac:dyDescent="0.4">
      <c r="F12" s="10"/>
      <c r="G12" s="10"/>
      <c r="H12" s="45"/>
    </row>
    <row r="18" spans="5:8" x14ac:dyDescent="0.4">
      <c r="E18" s="136" t="s">
        <v>263</v>
      </c>
      <c r="F18" s="137"/>
      <c r="G18" s="136"/>
      <c r="H18" s="138">
        <f>SUM(H9:H17)</f>
        <v>96612</v>
      </c>
    </row>
    <row r="20" spans="5:8" x14ac:dyDescent="0.4">
      <c r="E20" s="139" t="s">
        <v>136</v>
      </c>
      <c r="F20" s="139"/>
      <c r="G20" s="139"/>
      <c r="H20" s="140">
        <f>H4-H18</f>
        <v>0</v>
      </c>
    </row>
  </sheetData>
  <hyperlinks>
    <hyperlink ref="K1" location="'Project Status'!A1" display="'Project Status'!A1" xr:uid="{6DCB42CD-4205-4A73-82FB-AB2261487C46}"/>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862B9-60E5-4148-B400-47206DEF0E9B}">
  <sheetPr>
    <tabColor rgb="FFFFFF93"/>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7.69140625" bestFit="1" customWidth="1"/>
    <col min="7" max="7" width="14.07421875" bestFit="1" customWidth="1"/>
    <col min="8" max="8" width="16.5351562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20922</v>
      </c>
      <c r="B4" s="11">
        <f>VLOOKUP(A4,'Project Status'!C:D,2,FALSE)</f>
        <v>8720</v>
      </c>
      <c r="C4" s="11" t="str">
        <f>VLOOKUP(A4,'Project Status'!C:E,3,FALSE)</f>
        <v>CP_400263</v>
      </c>
      <c r="D4" s="11" t="str">
        <f>VLOOKUP(A4,'Project Status'!C:F,4,FALSE)</f>
        <v>12000 - Arts and Science: Office of the Dean</v>
      </c>
      <c r="E4" s="11" t="str">
        <f>VLOOKUP(A4,'Project Status'!C:I,7,FALSE)</f>
        <v>Vaughn Home - Exterior Improvements</v>
      </c>
      <c r="F4" s="11" t="str">
        <f>VLOOKUP(A4,'Project Status'!C:K,8,FALSE)</f>
        <v>Active</v>
      </c>
      <c r="G4" s="11" t="str">
        <f>VLOOKUP(A4,'Project Status'!C:L,9,FALSE)</f>
        <v>Warranty or Construction Closeout</v>
      </c>
      <c r="H4" s="89">
        <f>VLOOKUP(A4,'Project Status'!C:N,11,FALSE)</f>
        <v>170000</v>
      </c>
    </row>
    <row r="8" spans="1:11" x14ac:dyDescent="0.4">
      <c r="E8" s="41" t="s">
        <v>124</v>
      </c>
    </row>
    <row r="9" spans="1:11" x14ac:dyDescent="0.4">
      <c r="E9" s="22" t="s">
        <v>403</v>
      </c>
      <c r="F9" t="s">
        <v>139</v>
      </c>
      <c r="H9" s="42">
        <v>197150</v>
      </c>
    </row>
    <row r="10" spans="1:11" x14ac:dyDescent="0.4">
      <c r="E10" s="22"/>
      <c r="H10" s="42"/>
    </row>
    <row r="12" spans="1:11" x14ac:dyDescent="0.4">
      <c r="F12" s="10"/>
      <c r="G12" s="10"/>
      <c r="H12" s="45"/>
    </row>
    <row r="18" spans="5:8" x14ac:dyDescent="0.4">
      <c r="E18" s="136" t="s">
        <v>263</v>
      </c>
      <c r="F18" s="137"/>
      <c r="G18" s="136"/>
      <c r="H18" s="138">
        <f>SUM(H9:H17)</f>
        <v>197150</v>
      </c>
    </row>
    <row r="20" spans="5:8" x14ac:dyDescent="0.4">
      <c r="E20" s="139" t="s">
        <v>136</v>
      </c>
      <c r="F20" s="139"/>
      <c r="G20" s="139"/>
      <c r="H20" s="140">
        <f>H4-H18</f>
        <v>-27150</v>
      </c>
    </row>
  </sheetData>
  <hyperlinks>
    <hyperlink ref="K1" location="'Project Status'!A1" display="'Project Status'!A1" xr:uid="{2633D06A-8DA6-4E4B-A631-B2C23526C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C2FF6-72C7-404D-B1F7-6D55E96B3A9B}">
  <sheetPr>
    <tabColor rgb="FFFFFF93"/>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20924</v>
      </c>
      <c r="B4" s="11">
        <f>VLOOKUP(A4,'Project Status'!C:D,2,FALSE)</f>
        <v>0</v>
      </c>
      <c r="C4" s="11">
        <f>VLOOKUP(A4,'Project Status'!C:E,3,FALSE)</f>
        <v>0</v>
      </c>
      <c r="D4" s="11" t="str">
        <f>VLOOKUP(A4,'Project Status'!C:F,4,FALSE)</f>
        <v>19000 - Nursing: Office of the Dean</v>
      </c>
      <c r="E4" s="11" t="str">
        <f>VLOOKUP(A4,'Project Status'!C:I,7,FALSE)</f>
        <v>Frist Hall - Stairwell Roof Replacement</v>
      </c>
      <c r="F4" s="11" t="str">
        <f>VLOOKUP(A4,'Project Status'!C:K,8,FALSE)</f>
        <v>Active</v>
      </c>
      <c r="G4" s="11" t="str">
        <f>VLOOKUP(A4,'Project Status'!C:L,9,FALSE)</f>
        <v>Financial Closeout</v>
      </c>
      <c r="H4" s="89">
        <f>VLOOKUP(A4,'Project Status'!C:N,11,FALSE)</f>
        <v>30570</v>
      </c>
    </row>
    <row r="8" spans="1:11" x14ac:dyDescent="0.4">
      <c r="E8" s="41" t="s">
        <v>124</v>
      </c>
    </row>
    <row r="9" spans="1:11" x14ac:dyDescent="0.4">
      <c r="E9" s="22" t="s">
        <v>392</v>
      </c>
      <c r="F9" t="s">
        <v>139</v>
      </c>
      <c r="H9" s="42">
        <v>30570</v>
      </c>
    </row>
    <row r="10" spans="1:11" x14ac:dyDescent="0.4">
      <c r="E10" s="22"/>
      <c r="H10" s="42"/>
    </row>
    <row r="12" spans="1:11" x14ac:dyDescent="0.4">
      <c r="F12" s="10"/>
      <c r="G12" s="10"/>
      <c r="H12" s="45"/>
    </row>
    <row r="18" spans="5:8" x14ac:dyDescent="0.4">
      <c r="E18" s="136" t="s">
        <v>263</v>
      </c>
      <c r="F18" s="137"/>
      <c r="G18" s="136"/>
      <c r="H18" s="138">
        <f>SUM(H9:H17)</f>
        <v>30570</v>
      </c>
    </row>
    <row r="20" spans="5:8" x14ac:dyDescent="0.4">
      <c r="E20" s="139" t="s">
        <v>136</v>
      </c>
      <c r="F20" s="139"/>
      <c r="G20" s="139"/>
      <c r="H20" s="140">
        <f>H4-H18</f>
        <v>0</v>
      </c>
    </row>
  </sheetData>
  <hyperlinks>
    <hyperlink ref="K1" location="'Project Status'!A1" display="'Project Status'!A1" xr:uid="{39DDB076-FB48-46D9-88C0-09EEFE959895}"/>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0B1B2-EBDB-49C5-9C4A-BAEE14C74FF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20936</v>
      </c>
      <c r="B4" s="11">
        <f>VLOOKUP(A4,'Project Status'!C:D,2,FALSE)</f>
        <v>8814</v>
      </c>
      <c r="C4" s="11">
        <f>VLOOKUP(A4,'Project Status'!C:E,3,FALSE)</f>
        <v>0</v>
      </c>
      <c r="D4" s="11" t="str">
        <f>VLOOKUP(A4,'Project Status'!C:F,4,FALSE)</f>
        <v>12000 - Arts and Science: Office of the Dean</v>
      </c>
      <c r="E4" s="11" t="str">
        <f>VLOOKUP(A4,'Project Status'!C:I,7,FALSE)</f>
        <v>Wilson Hall - Lighting Retrofit for 103 and 126</v>
      </c>
      <c r="F4" s="11" t="str">
        <f>VLOOKUP(A4,'Project Status'!C:K,8,FALSE)</f>
        <v>Active</v>
      </c>
      <c r="G4" s="11" t="str">
        <f>VLOOKUP(A4,'Project Status'!C:L,9,FALSE)</f>
        <v>Warranty or Construction Closeout</v>
      </c>
      <c r="H4" s="89">
        <f>VLOOKUP(A4,'Project Status'!C:N,11,FALSE)</f>
        <v>405000</v>
      </c>
    </row>
    <row r="8" spans="1:11" x14ac:dyDescent="0.4">
      <c r="E8" s="41" t="s">
        <v>124</v>
      </c>
    </row>
    <row r="9" spans="1:11" x14ac:dyDescent="0.4">
      <c r="E9" s="22" t="s">
        <v>392</v>
      </c>
      <c r="F9" t="s">
        <v>139</v>
      </c>
      <c r="H9" s="42">
        <v>404655.91</v>
      </c>
    </row>
    <row r="10" spans="1:11" x14ac:dyDescent="0.4">
      <c r="E10" s="22"/>
      <c r="H10" s="42"/>
    </row>
    <row r="12" spans="1:11" x14ac:dyDescent="0.4">
      <c r="F12" s="10"/>
      <c r="G12" s="10"/>
      <c r="H12" s="45"/>
    </row>
    <row r="18" spans="5:8" x14ac:dyDescent="0.4">
      <c r="E18" s="136" t="s">
        <v>263</v>
      </c>
      <c r="F18" s="137"/>
      <c r="G18" s="136"/>
      <c r="H18" s="138">
        <f>SUM(H9:H17)</f>
        <v>404655.91</v>
      </c>
    </row>
    <row r="20" spans="5:8" x14ac:dyDescent="0.4">
      <c r="E20" s="139" t="s">
        <v>136</v>
      </c>
      <c r="F20" s="139"/>
      <c r="G20" s="139"/>
      <c r="H20" s="140">
        <f>H4-H18</f>
        <v>344.09000000002561</v>
      </c>
    </row>
  </sheetData>
  <hyperlinks>
    <hyperlink ref="K1" location="'Project Status'!A1" display="'Project Status'!A1" xr:uid="{F7F8C54D-A01C-4604-8085-EC56EA3D760E}"/>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8B367-0D18-4B42-B53A-B92AE5134A1F}">
  <sheetPr>
    <tabColor theme="4"/>
  </sheetPr>
  <dimension ref="A1:K20"/>
  <sheetViews>
    <sheetView topLeftCell="C1" zoomScale="90" zoomScaleNormal="90" workbookViewId="0">
      <selection activeCell="G71" sqref="G71"/>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23.3046875" bestFit="1" customWidth="1"/>
    <col min="7" max="7" width="13.53515625" bestFit="1" customWidth="1"/>
    <col min="8" max="8" width="16.5351562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20940</v>
      </c>
      <c r="B4" s="11">
        <f>VLOOKUP(A4,'Project Status'!C:D,2,FALSE)</f>
        <v>0</v>
      </c>
      <c r="C4" s="11" t="str">
        <f>VLOOKUP(A4,'Project Status'!C:E,3,FALSE)</f>
        <v>CP_400291</v>
      </c>
      <c r="D4" s="11" t="s">
        <v>15</v>
      </c>
      <c r="E4" s="11" t="s">
        <v>376</v>
      </c>
      <c r="F4" s="11" t="s">
        <v>223</v>
      </c>
      <c r="G4" s="11" t="s">
        <v>444</v>
      </c>
      <c r="H4" s="89">
        <v>0</v>
      </c>
    </row>
    <row r="8" spans="1:11" x14ac:dyDescent="0.4">
      <c r="E8" s="41" t="s">
        <v>124</v>
      </c>
    </row>
    <row r="9" spans="1:11" x14ac:dyDescent="0.4">
      <c r="E9" s="22" t="s">
        <v>445</v>
      </c>
      <c r="F9" t="s">
        <v>139</v>
      </c>
      <c r="H9" s="42">
        <v>294789</v>
      </c>
    </row>
    <row r="10" spans="1:11" x14ac:dyDescent="0.4">
      <c r="E10" s="22" t="s">
        <v>462</v>
      </c>
      <c r="F10" t="s">
        <v>146</v>
      </c>
      <c r="H10" s="42">
        <v>14759.64</v>
      </c>
    </row>
    <row r="12" spans="1:11" x14ac:dyDescent="0.4">
      <c r="F12" s="10"/>
      <c r="G12" s="10"/>
      <c r="H12" s="45"/>
    </row>
    <row r="18" spans="5:8" x14ac:dyDescent="0.4">
      <c r="E18" s="136" t="s">
        <v>263</v>
      </c>
      <c r="F18" s="137"/>
      <c r="G18" s="136"/>
      <c r="H18" s="138">
        <f>SUM(H9:H17)</f>
        <v>309548.64</v>
      </c>
    </row>
    <row r="20" spans="5:8" x14ac:dyDescent="0.4">
      <c r="E20" s="139" t="s">
        <v>136</v>
      </c>
      <c r="F20" s="139"/>
      <c r="G20" s="139"/>
      <c r="H20" s="140">
        <f>H4-H18</f>
        <v>-309548.64</v>
      </c>
    </row>
  </sheetData>
  <hyperlinks>
    <hyperlink ref="K1" location="'Project Status'!A1" display="'Project Status'!A1" xr:uid="{FC858947-0188-4EC9-869C-2D48C036048B}"/>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FB1A4-E4A4-443B-9D88-63402CC6AC41}">
  <sheetPr>
    <tabColor theme="4"/>
  </sheetPr>
  <dimension ref="A1:K20"/>
  <sheetViews>
    <sheetView zoomScale="90" zoomScaleNormal="90" workbookViewId="0"/>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20945</v>
      </c>
      <c r="B4" s="11">
        <f>VLOOKUP(A4,'Project Status'!C:D,2,FALSE)</f>
        <v>0</v>
      </c>
      <c r="C4" s="11">
        <f>VLOOKUP(A4,'Project Status'!C:E,3,FALSE)</f>
        <v>0</v>
      </c>
      <c r="D4" s="11" t="str">
        <f>VLOOKUP(A4,'Project Status'!C:F,4,FALSE)</f>
        <v>10000 - Chancellor</v>
      </c>
      <c r="E4" s="11" t="str">
        <f>VLOOKUP(A4,'Project Status'!C:I,7,FALSE)</f>
        <v>Seigenthaler Building - HVAC Improvements</v>
      </c>
      <c r="F4" s="11" t="str">
        <f>VLOOKUP(A4,'Project Status'!C:K,8,FALSE)</f>
        <v>Active</v>
      </c>
      <c r="G4" s="11" t="str">
        <f>VLOOKUP(A4,'Project Status'!C:L,9,FALSE)</f>
        <v>Financial Closeout</v>
      </c>
      <c r="H4" s="89">
        <f>VLOOKUP(A4,'Project Status'!C:N,11,FALSE)</f>
        <v>99000</v>
      </c>
    </row>
    <row r="8" spans="1:11" x14ac:dyDescent="0.4">
      <c r="E8" s="41" t="s">
        <v>124</v>
      </c>
    </row>
    <row r="9" spans="1:11" x14ac:dyDescent="0.4">
      <c r="E9" s="22" t="s">
        <v>384</v>
      </c>
      <c r="F9" t="s">
        <v>139</v>
      </c>
      <c r="H9" s="42">
        <v>99000</v>
      </c>
    </row>
    <row r="10" spans="1:11" x14ac:dyDescent="0.4">
      <c r="E10" s="22"/>
      <c r="H10" s="42"/>
    </row>
    <row r="12" spans="1:11" x14ac:dyDescent="0.4">
      <c r="F12" s="10"/>
      <c r="G12" s="10"/>
      <c r="H12" s="45"/>
    </row>
    <row r="18" spans="5:8" x14ac:dyDescent="0.4">
      <c r="E18" s="136" t="s">
        <v>263</v>
      </c>
      <c r="F18" s="137"/>
      <c r="G18" s="136"/>
      <c r="H18" s="138">
        <f>SUM(H9:H17)</f>
        <v>99000</v>
      </c>
    </row>
    <row r="20" spans="5:8" x14ac:dyDescent="0.4">
      <c r="E20" s="139" t="s">
        <v>136</v>
      </c>
      <c r="F20" s="139"/>
      <c r="G20" s="139"/>
      <c r="H20" s="140">
        <f>H4-H18</f>
        <v>0</v>
      </c>
    </row>
  </sheetData>
  <hyperlinks>
    <hyperlink ref="K1" location="'Project Status'!A1" display="'Project Status'!A1" xr:uid="{AA7E3536-03A0-4A48-A715-97F0A5AE2707}"/>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EA44-BFD6-4B55-A95F-B5AF2714EBE3}">
  <sheetPr>
    <tabColor theme="4"/>
  </sheetPr>
  <dimension ref="A1:K20"/>
  <sheetViews>
    <sheetView zoomScale="90" zoomScaleNormal="90" workbookViewId="0">
      <selection activeCell="J10" sqref="J10"/>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22.53515625" bestFit="1" customWidth="1"/>
    <col min="7" max="7" width="11.3046875" bestFit="1" customWidth="1"/>
    <col min="8" max="8" width="16.5351562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20958</v>
      </c>
      <c r="B4" s="11">
        <f>VLOOKUP(A4,'Project Status'!C:D,2,FALSE)</f>
        <v>1642</v>
      </c>
      <c r="C4" s="11" t="str">
        <f>VLOOKUP(A4,'Project Status'!C:E,3,FALSE)</f>
        <v>CP_400256</v>
      </c>
      <c r="D4" s="11" t="str">
        <f>VLOOKUP(A4,'Project Status'!C:F,4,FALSE)</f>
        <v>12000 - Arts and Science: Office of the Dean</v>
      </c>
      <c r="E4" s="11" t="str">
        <f>VLOOKUP(A4,'Project Status'!C:I,7,FALSE)</f>
        <v>Furman Hall - Elevator Modernization</v>
      </c>
      <c r="F4" s="11" t="str">
        <f>VLOOKUP(A4,'Project Status'!C:K,8,FALSE)</f>
        <v>Active</v>
      </c>
      <c r="G4" s="11" t="str">
        <f>VLOOKUP(A4,'Project Status'!C:L,9,FALSE)</f>
        <v>Construction</v>
      </c>
      <c r="H4" s="89">
        <f>VLOOKUP(A4,'Project Status'!C:N,11,FALSE)</f>
        <v>290000</v>
      </c>
    </row>
    <row r="8" spans="1:11" x14ac:dyDescent="0.4">
      <c r="E8" s="41" t="s">
        <v>124</v>
      </c>
    </row>
    <row r="9" spans="1:11" x14ac:dyDescent="0.4">
      <c r="E9" s="22" t="s">
        <v>403</v>
      </c>
      <c r="F9" t="s">
        <v>139</v>
      </c>
      <c r="H9" s="42">
        <v>18175</v>
      </c>
    </row>
    <row r="10" spans="1:11" x14ac:dyDescent="0.4">
      <c r="E10" s="22" t="s">
        <v>437</v>
      </c>
      <c r="F10" t="s">
        <v>213</v>
      </c>
      <c r="H10" s="42">
        <v>243454</v>
      </c>
    </row>
    <row r="12" spans="1:11" x14ac:dyDescent="0.4">
      <c r="F12" s="10"/>
      <c r="G12" s="10"/>
      <c r="H12" s="45"/>
    </row>
    <row r="18" spans="5:8" x14ac:dyDescent="0.4">
      <c r="E18" s="136" t="s">
        <v>263</v>
      </c>
      <c r="F18" s="137"/>
      <c r="G18" s="136"/>
      <c r="H18" s="138">
        <f>SUM(H9:H17)</f>
        <v>261629</v>
      </c>
    </row>
    <row r="20" spans="5:8" x14ac:dyDescent="0.4">
      <c r="E20" s="139" t="s">
        <v>136</v>
      </c>
      <c r="F20" s="139"/>
      <c r="G20" s="139"/>
      <c r="H20" s="140">
        <f>H4-H18</f>
        <v>28371</v>
      </c>
    </row>
  </sheetData>
  <phoneticPr fontId="5" type="noConversion"/>
  <hyperlinks>
    <hyperlink ref="K1" location="'Project Status'!A1" display="'Project Status'!A1" xr:uid="{4F4EF9C2-0892-47DA-B8B0-8CAE31D586D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13F35-660F-4AAB-ABDE-95F720CDB1A2}">
  <sheetPr>
    <tabColor theme="4"/>
  </sheetPr>
  <dimension ref="A1:K20"/>
  <sheetViews>
    <sheetView zoomScale="90" zoomScaleNormal="90" workbookViewId="0">
      <selection activeCell="F33" sqref="F33"/>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23.3046875" bestFit="1" customWidth="1"/>
    <col min="7" max="7" width="13.53515625" bestFit="1" customWidth="1"/>
    <col min="8" max="8" width="16.5351562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20962</v>
      </c>
      <c r="B4" s="11">
        <f>VLOOKUP(A4,'Project Status'!C:D,2,FALSE)</f>
        <v>8754</v>
      </c>
      <c r="C4" s="11">
        <f>VLOOKUP(A4,'Project Status'!C:E,3,FALSE)</f>
        <v>0</v>
      </c>
      <c r="D4" s="11" t="s">
        <v>443</v>
      </c>
      <c r="E4" s="11" t="s">
        <v>394</v>
      </c>
      <c r="F4" s="11" t="s">
        <v>372</v>
      </c>
      <c r="G4" s="11" t="s">
        <v>149</v>
      </c>
      <c r="H4" s="89">
        <v>0</v>
      </c>
    </row>
    <row r="8" spans="1:11" x14ac:dyDescent="0.4">
      <c r="E8" s="41" t="s">
        <v>124</v>
      </c>
    </row>
    <row r="9" spans="1:11" x14ac:dyDescent="0.4">
      <c r="E9" s="22" t="s">
        <v>462</v>
      </c>
      <c r="F9" t="s">
        <v>139</v>
      </c>
      <c r="H9" s="42">
        <v>1800</v>
      </c>
    </row>
    <row r="10" spans="1:11" x14ac:dyDescent="0.4">
      <c r="E10" s="22"/>
      <c r="H10" s="42"/>
    </row>
    <row r="12" spans="1:11" x14ac:dyDescent="0.4">
      <c r="F12" s="10"/>
      <c r="G12" s="10"/>
      <c r="H12" s="45"/>
    </row>
    <row r="18" spans="5:8" x14ac:dyDescent="0.4">
      <c r="E18" s="136" t="s">
        <v>263</v>
      </c>
      <c r="F18" s="137"/>
      <c r="G18" s="136"/>
      <c r="H18" s="138">
        <f>SUM(H9:H17)</f>
        <v>1800</v>
      </c>
    </row>
    <row r="20" spans="5:8" x14ac:dyDescent="0.4">
      <c r="E20" s="139" t="s">
        <v>136</v>
      </c>
      <c r="F20" s="139"/>
      <c r="G20" s="139"/>
      <c r="H20" s="140">
        <f>H4-H18</f>
        <v>-1800</v>
      </c>
    </row>
  </sheetData>
  <hyperlinks>
    <hyperlink ref="K1" location="'Project Status'!A1" display="'Project Status'!A1" xr:uid="{E8AF03FD-36BC-478B-A99A-0100932F1994}"/>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89CEF-3829-4604-B749-F5B3BE10CC44}">
  <sheetPr>
    <tabColor theme="4"/>
  </sheetPr>
  <dimension ref="A1:K20"/>
  <sheetViews>
    <sheetView zoomScale="90" zoomScaleNormal="90" workbookViewId="0">
      <selection activeCell="E31" sqref="E31"/>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10.3046875" bestFit="1" customWidth="1"/>
    <col min="7" max="7" width="11.3046875" bestFit="1" customWidth="1"/>
    <col min="8" max="8" width="16.5351562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20982</v>
      </c>
      <c r="B4" s="11">
        <f>VLOOKUP(A4,'Project Status'!C:D,2,FALSE)</f>
        <v>0</v>
      </c>
      <c r="C4" s="11" t="str">
        <f>VLOOKUP(A4,'Project Status'!C:E,3,FALSE)</f>
        <v>CP_400270</v>
      </c>
      <c r="D4" s="11" t="str">
        <f>VLOOKUP(A4,'Project Status'!C:F,4,FALSE)</f>
        <v>17100 - Law: Business Affairs</v>
      </c>
      <c r="E4" s="11" t="str">
        <f>VLOOKUP(A4,'Project Status'!C:I,7,FALSE)</f>
        <v>Law School - Elevator 1 Modernization</v>
      </c>
      <c r="F4" s="11" t="str">
        <f>VLOOKUP(A4,'Project Status'!C:K,8,FALSE)</f>
        <v>Active</v>
      </c>
      <c r="G4" s="11" t="str">
        <f>VLOOKUP(A4,'Project Status'!C:L,9,FALSE)</f>
        <v>Construction</v>
      </c>
      <c r="H4" s="89">
        <f>VLOOKUP(A4,'Project Status'!C:N,11,FALSE)</f>
        <v>272000</v>
      </c>
    </row>
    <row r="8" spans="1:11" x14ac:dyDescent="0.4">
      <c r="E8" s="41" t="s">
        <v>124</v>
      </c>
    </row>
    <row r="9" spans="1:11" x14ac:dyDescent="0.4">
      <c r="E9" s="22" t="s">
        <v>405</v>
      </c>
      <c r="F9" t="s">
        <v>139</v>
      </c>
      <c r="H9" s="42">
        <v>18175</v>
      </c>
    </row>
    <row r="10" spans="1:11" x14ac:dyDescent="0.4">
      <c r="E10" s="22" t="s">
        <v>445</v>
      </c>
      <c r="F10" t="s">
        <v>213</v>
      </c>
      <c r="H10" s="42">
        <v>253825</v>
      </c>
    </row>
    <row r="12" spans="1:11" x14ac:dyDescent="0.4">
      <c r="F12" s="10"/>
      <c r="G12" s="10"/>
      <c r="H12" s="45"/>
    </row>
    <row r="18" spans="5:8" x14ac:dyDescent="0.4">
      <c r="E18" s="136" t="s">
        <v>263</v>
      </c>
      <c r="F18" s="137"/>
      <c r="G18" s="136"/>
      <c r="H18" s="138">
        <f>SUM(H9:H17)</f>
        <v>272000</v>
      </c>
    </row>
    <row r="20" spans="5:8" x14ac:dyDescent="0.4">
      <c r="E20" s="139" t="s">
        <v>136</v>
      </c>
      <c r="F20" s="139"/>
      <c r="G20" s="139"/>
      <c r="H20" s="140">
        <f>H4-H18</f>
        <v>0</v>
      </c>
    </row>
  </sheetData>
  <phoneticPr fontId="5" type="noConversion"/>
  <hyperlinks>
    <hyperlink ref="K1" location="'Project Status'!A1" display="'Project Status'!A1" xr:uid="{971C022E-07DF-4C69-A083-9159FE5383CD}"/>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5E141-0174-4F11-B90A-C27F2889FDEB}">
  <sheetPr>
    <tabColor theme="4"/>
  </sheetPr>
  <dimension ref="A1:K20"/>
  <sheetViews>
    <sheetView zoomScale="90" zoomScaleNormal="90" workbookViewId="0">
      <selection activeCell="F10" sqref="F10"/>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10.3046875" bestFit="1" customWidth="1"/>
    <col min="7" max="7" width="11.3046875" bestFit="1" customWidth="1"/>
    <col min="8" max="8" width="16.5351562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20984</v>
      </c>
      <c r="B4" s="11">
        <f>VLOOKUP(A4,'Project Status'!C:D,2,FALSE)</f>
        <v>8712</v>
      </c>
      <c r="C4" s="11">
        <f>VLOOKUP(A4,'Project Status'!C:E,3,FALSE)</f>
        <v>0</v>
      </c>
      <c r="D4" s="11" t="str">
        <f>VLOOKUP(A4,'Project Status'!C:F,4,FALSE)</f>
        <v>12000 - Arts and Science: Office of the Dean</v>
      </c>
      <c r="E4" s="11" t="str">
        <f>VLOOKUP(A4,'Project Status'!C:I,7,FALSE)</f>
        <v>Wilson Hall - 1st Floor Urinal Replacement</v>
      </c>
      <c r="F4" s="11" t="str">
        <f>VLOOKUP(A4,'Project Status'!C:K,8,FALSE)</f>
        <v>Active</v>
      </c>
      <c r="G4" s="11" t="str">
        <f>VLOOKUP(A4,'Project Status'!C:L,9,FALSE)</f>
        <v>Warranty or Construction Closeout</v>
      </c>
      <c r="H4" s="89">
        <f>VLOOKUP(A4,'Project Status'!C:N,11,FALSE)</f>
        <v>167000</v>
      </c>
    </row>
    <row r="8" spans="1:11" x14ac:dyDescent="0.4">
      <c r="E8" s="41" t="s">
        <v>124</v>
      </c>
    </row>
    <row r="9" spans="1:11" x14ac:dyDescent="0.4">
      <c r="E9" s="22" t="s">
        <v>442</v>
      </c>
      <c r="F9" t="s">
        <v>139</v>
      </c>
      <c r="H9" s="42">
        <v>167000</v>
      </c>
    </row>
    <row r="10" spans="1:11" x14ac:dyDescent="0.4">
      <c r="E10" s="22"/>
      <c r="H10" s="42"/>
    </row>
    <row r="12" spans="1:11" x14ac:dyDescent="0.4">
      <c r="F12" s="10"/>
      <c r="G12" s="10"/>
      <c r="H12" s="45"/>
    </row>
    <row r="18" spans="5:8" x14ac:dyDescent="0.4">
      <c r="E18" s="136" t="s">
        <v>263</v>
      </c>
      <c r="F18" s="137"/>
      <c r="G18" s="136"/>
      <c r="H18" s="138">
        <f>SUM(H9:H17)</f>
        <v>167000</v>
      </c>
    </row>
    <row r="20" spans="5:8" x14ac:dyDescent="0.4">
      <c r="E20" s="139" t="s">
        <v>136</v>
      </c>
      <c r="F20" s="139"/>
      <c r="G20" s="139"/>
      <c r="H20" s="140">
        <f>H4-H18</f>
        <v>0</v>
      </c>
    </row>
  </sheetData>
  <hyperlinks>
    <hyperlink ref="K1" location="'Project Status'!A1" display="'Project Status'!A1" xr:uid="{EF83A2D8-BED0-47B7-8C05-2C9B4E6C8B8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sheetPr>
  <dimension ref="A1:C101"/>
  <sheetViews>
    <sheetView zoomScaleNormal="100" workbookViewId="0">
      <pane ySplit="3" topLeftCell="A4" activePane="bottomLeft" state="frozen"/>
      <selection pane="bottomLeft" activeCell="E1" sqref="E1"/>
    </sheetView>
  </sheetViews>
  <sheetFormatPr defaultRowHeight="14.6" x14ac:dyDescent="0.4"/>
  <cols>
    <col min="1" max="1" width="62.84375" bestFit="1" customWidth="1"/>
    <col min="2" max="2" width="15.69140625" style="207" bestFit="1" customWidth="1"/>
    <col min="3" max="3" width="16.3046875" style="207" bestFit="1" customWidth="1"/>
    <col min="4" max="4" width="16" bestFit="1" customWidth="1"/>
  </cols>
  <sheetData>
    <row r="1" spans="1:3" s="8" customFormat="1" x14ac:dyDescent="0.4">
      <c r="A1" s="10" t="s">
        <v>204</v>
      </c>
      <c r="B1" s="207"/>
      <c r="C1" s="207"/>
    </row>
    <row r="3" spans="1:3" x14ac:dyDescent="0.4">
      <c r="A3" s="25" t="s">
        <v>115</v>
      </c>
      <c r="B3" s="207" t="s">
        <v>119</v>
      </c>
      <c r="C3" s="207" t="s">
        <v>117</v>
      </c>
    </row>
    <row r="4" spans="1:3" x14ac:dyDescent="0.4">
      <c r="A4" s="26" t="s">
        <v>28</v>
      </c>
      <c r="B4" s="226">
        <v>4035715.26</v>
      </c>
      <c r="C4" s="226">
        <v>4264088.53</v>
      </c>
    </row>
    <row r="5" spans="1:3" x14ac:dyDescent="0.4">
      <c r="A5" s="22" t="s">
        <v>101</v>
      </c>
      <c r="B5" s="226">
        <v>723184</v>
      </c>
      <c r="C5" s="226">
        <v>932716.27</v>
      </c>
    </row>
    <row r="6" spans="1:3" x14ac:dyDescent="0.4">
      <c r="A6" s="179" t="s">
        <v>258</v>
      </c>
      <c r="B6" s="226">
        <v>149000</v>
      </c>
      <c r="C6" s="226">
        <v>148299</v>
      </c>
    </row>
    <row r="7" spans="1:3" x14ac:dyDescent="0.4">
      <c r="A7" s="179" t="s">
        <v>330</v>
      </c>
      <c r="B7" s="226">
        <v>499184</v>
      </c>
      <c r="C7" s="226">
        <v>499184</v>
      </c>
    </row>
    <row r="8" spans="1:3" x14ac:dyDescent="0.4">
      <c r="A8" s="179" t="s">
        <v>385</v>
      </c>
      <c r="B8" s="226">
        <v>75000</v>
      </c>
      <c r="C8" s="226">
        <v>285233.27</v>
      </c>
    </row>
    <row r="9" spans="1:3" x14ac:dyDescent="0.4">
      <c r="A9" s="22" t="s">
        <v>309</v>
      </c>
      <c r="B9" s="226">
        <v>3312531.26</v>
      </c>
      <c r="C9" s="226">
        <v>3331372.26</v>
      </c>
    </row>
    <row r="10" spans="1:3" x14ac:dyDescent="0.4">
      <c r="A10" s="179" t="s">
        <v>105</v>
      </c>
      <c r="B10" s="226">
        <v>456850</v>
      </c>
      <c r="C10" s="226">
        <v>456850</v>
      </c>
    </row>
    <row r="11" spans="1:3" x14ac:dyDescent="0.4">
      <c r="A11" s="179" t="s">
        <v>108</v>
      </c>
      <c r="B11" s="226">
        <v>17500</v>
      </c>
      <c r="C11" s="226">
        <v>22000</v>
      </c>
    </row>
    <row r="12" spans="1:3" x14ac:dyDescent="0.4">
      <c r="A12" s="179" t="s">
        <v>276</v>
      </c>
      <c r="B12" s="226">
        <v>630554</v>
      </c>
      <c r="C12" s="226">
        <v>630554</v>
      </c>
    </row>
    <row r="13" spans="1:3" x14ac:dyDescent="0.4">
      <c r="A13" s="179" t="s">
        <v>211</v>
      </c>
      <c r="B13" s="226">
        <v>225791</v>
      </c>
      <c r="C13" s="226">
        <v>239341</v>
      </c>
    </row>
    <row r="14" spans="1:3" x14ac:dyDescent="0.4">
      <c r="A14" s="179" t="s">
        <v>317</v>
      </c>
      <c r="B14" s="226">
        <v>5000</v>
      </c>
      <c r="C14" s="226">
        <v>0</v>
      </c>
    </row>
    <row r="15" spans="1:3" x14ac:dyDescent="0.4">
      <c r="A15" s="179" t="s">
        <v>185</v>
      </c>
      <c r="B15" s="226">
        <v>1232681</v>
      </c>
      <c r="C15" s="226">
        <v>1232681</v>
      </c>
    </row>
    <row r="16" spans="1:3" x14ac:dyDescent="0.4">
      <c r="A16" s="179" t="s">
        <v>107</v>
      </c>
      <c r="B16" s="226">
        <v>400000</v>
      </c>
      <c r="C16" s="226">
        <v>405791</v>
      </c>
    </row>
    <row r="17" spans="1:3" x14ac:dyDescent="0.4">
      <c r="A17" s="179" t="s">
        <v>239</v>
      </c>
      <c r="B17" s="226">
        <v>344155.26</v>
      </c>
      <c r="C17" s="226">
        <v>344155.26</v>
      </c>
    </row>
    <row r="18" spans="1:3" x14ac:dyDescent="0.4">
      <c r="A18" s="26" t="s">
        <v>116</v>
      </c>
      <c r="B18" s="226">
        <v>4035715.26</v>
      </c>
      <c r="C18" s="226">
        <v>4264088.53</v>
      </c>
    </row>
    <row r="19" spans="1:3" x14ac:dyDescent="0.4">
      <c r="B19"/>
      <c r="C19"/>
    </row>
    <row r="20" spans="1:3" x14ac:dyDescent="0.4">
      <c r="B20"/>
      <c r="C20"/>
    </row>
    <row r="21" spans="1:3" x14ac:dyDescent="0.4">
      <c r="B21"/>
      <c r="C21"/>
    </row>
    <row r="22" spans="1:3" x14ac:dyDescent="0.4">
      <c r="B22"/>
      <c r="C22"/>
    </row>
    <row r="23" spans="1:3" x14ac:dyDescent="0.4">
      <c r="B23"/>
      <c r="C23"/>
    </row>
    <row r="24" spans="1:3" x14ac:dyDescent="0.4">
      <c r="B24"/>
      <c r="C24"/>
    </row>
    <row r="25" spans="1:3" x14ac:dyDescent="0.4">
      <c r="B25"/>
      <c r="C25"/>
    </row>
    <row r="26" spans="1:3" x14ac:dyDescent="0.4">
      <c r="B26"/>
      <c r="C26"/>
    </row>
    <row r="27" spans="1:3" x14ac:dyDescent="0.4">
      <c r="B27"/>
      <c r="C27"/>
    </row>
    <row r="28" spans="1:3" x14ac:dyDescent="0.4">
      <c r="B28"/>
      <c r="C28"/>
    </row>
    <row r="29" spans="1:3" x14ac:dyDescent="0.4">
      <c r="B29"/>
      <c r="C29"/>
    </row>
    <row r="30" spans="1:3" x14ac:dyDescent="0.4">
      <c r="B30"/>
      <c r="C30"/>
    </row>
    <row r="31" spans="1:3" x14ac:dyDescent="0.4">
      <c r="B31"/>
      <c r="C31"/>
    </row>
    <row r="32" spans="1:3" x14ac:dyDescent="0.4">
      <c r="B32"/>
      <c r="C32"/>
    </row>
    <row r="33" spans="2:3" x14ac:dyDescent="0.4">
      <c r="B33"/>
      <c r="C33"/>
    </row>
    <row r="34" spans="2:3" x14ac:dyDescent="0.4">
      <c r="B34"/>
      <c r="C34"/>
    </row>
    <row r="35" spans="2:3" x14ac:dyDescent="0.4">
      <c r="B35"/>
      <c r="C35"/>
    </row>
    <row r="36" spans="2:3" x14ac:dyDescent="0.4">
      <c r="B36"/>
      <c r="C36"/>
    </row>
    <row r="37" spans="2:3" x14ac:dyDescent="0.4">
      <c r="B37"/>
      <c r="C37"/>
    </row>
    <row r="38" spans="2:3" x14ac:dyDescent="0.4">
      <c r="B38"/>
      <c r="C38"/>
    </row>
    <row r="39" spans="2:3" x14ac:dyDescent="0.4">
      <c r="B39"/>
      <c r="C39"/>
    </row>
    <row r="40" spans="2:3" x14ac:dyDescent="0.4">
      <c r="B40"/>
      <c r="C40"/>
    </row>
    <row r="41" spans="2:3" x14ac:dyDescent="0.4">
      <c r="B41"/>
      <c r="C41"/>
    </row>
    <row r="42" spans="2:3" x14ac:dyDescent="0.4">
      <c r="B42"/>
      <c r="C42"/>
    </row>
    <row r="43" spans="2:3" x14ac:dyDescent="0.4">
      <c r="B43"/>
      <c r="C43"/>
    </row>
    <row r="44" spans="2:3" x14ac:dyDescent="0.4">
      <c r="B44"/>
      <c r="C44"/>
    </row>
    <row r="45" spans="2:3" x14ac:dyDescent="0.4">
      <c r="B45"/>
      <c r="C45"/>
    </row>
    <row r="46" spans="2:3" x14ac:dyDescent="0.4">
      <c r="B46"/>
      <c r="C46"/>
    </row>
    <row r="47" spans="2:3" x14ac:dyDescent="0.4">
      <c r="B47"/>
      <c r="C47"/>
    </row>
    <row r="48" spans="2:3" x14ac:dyDescent="0.4">
      <c r="B48"/>
      <c r="C48"/>
    </row>
    <row r="49" spans="2:3" x14ac:dyDescent="0.4">
      <c r="B49"/>
      <c r="C49"/>
    </row>
    <row r="50" spans="2:3" x14ac:dyDescent="0.4">
      <c r="B50"/>
      <c r="C50"/>
    </row>
    <row r="51" spans="2:3" x14ac:dyDescent="0.4">
      <c r="B51"/>
      <c r="C51"/>
    </row>
    <row r="52" spans="2:3" x14ac:dyDescent="0.4">
      <c r="B52"/>
      <c r="C52"/>
    </row>
    <row r="53" spans="2:3" x14ac:dyDescent="0.4">
      <c r="B53"/>
      <c r="C53"/>
    </row>
    <row r="54" spans="2:3" x14ac:dyDescent="0.4">
      <c r="B54"/>
      <c r="C54"/>
    </row>
    <row r="55" spans="2:3" x14ac:dyDescent="0.4">
      <c r="B55"/>
      <c r="C55"/>
    </row>
    <row r="56" spans="2:3" x14ac:dyDescent="0.4">
      <c r="B56"/>
      <c r="C56"/>
    </row>
    <row r="57" spans="2:3" x14ac:dyDescent="0.4">
      <c r="B57"/>
      <c r="C57"/>
    </row>
    <row r="58" spans="2:3" x14ac:dyDescent="0.4">
      <c r="B58"/>
      <c r="C58"/>
    </row>
    <row r="59" spans="2:3" x14ac:dyDescent="0.4">
      <c r="B59"/>
      <c r="C59"/>
    </row>
    <row r="60" spans="2:3" x14ac:dyDescent="0.4">
      <c r="B60"/>
      <c r="C60"/>
    </row>
    <row r="61" spans="2:3" x14ac:dyDescent="0.4">
      <c r="B61"/>
      <c r="C61"/>
    </row>
    <row r="62" spans="2:3" x14ac:dyDescent="0.4">
      <c r="B62"/>
      <c r="C62"/>
    </row>
    <row r="63" spans="2:3" x14ac:dyDescent="0.4">
      <c r="B63"/>
      <c r="C63"/>
    </row>
    <row r="64" spans="2:3" x14ac:dyDescent="0.4">
      <c r="B64"/>
      <c r="C64"/>
    </row>
    <row r="65" spans="2:3" x14ac:dyDescent="0.4">
      <c r="B65"/>
      <c r="C65"/>
    </row>
    <row r="66" spans="2:3" x14ac:dyDescent="0.4">
      <c r="B66"/>
      <c r="C66"/>
    </row>
    <row r="67" spans="2:3" x14ac:dyDescent="0.4">
      <c r="B67"/>
      <c r="C67"/>
    </row>
    <row r="68" spans="2:3" x14ac:dyDescent="0.4">
      <c r="B68"/>
      <c r="C68"/>
    </row>
    <row r="69" spans="2:3" x14ac:dyDescent="0.4">
      <c r="B69"/>
      <c r="C69"/>
    </row>
    <row r="70" spans="2:3" x14ac:dyDescent="0.4">
      <c r="B70"/>
      <c r="C70"/>
    </row>
    <row r="71" spans="2:3" x14ac:dyDescent="0.4">
      <c r="B71"/>
      <c r="C71"/>
    </row>
    <row r="72" spans="2:3" x14ac:dyDescent="0.4">
      <c r="B72"/>
      <c r="C72"/>
    </row>
    <row r="73" spans="2:3" x14ac:dyDescent="0.4">
      <c r="B73"/>
      <c r="C73"/>
    </row>
    <row r="74" spans="2:3" x14ac:dyDescent="0.4">
      <c r="B74"/>
      <c r="C74"/>
    </row>
    <row r="75" spans="2:3" x14ac:dyDescent="0.4">
      <c r="B75"/>
      <c r="C75"/>
    </row>
    <row r="76" spans="2:3" x14ac:dyDescent="0.4">
      <c r="B76"/>
      <c r="C76"/>
    </row>
    <row r="77" spans="2:3" x14ac:dyDescent="0.4">
      <c r="B77"/>
      <c r="C77"/>
    </row>
    <row r="78" spans="2:3" x14ac:dyDescent="0.4">
      <c r="B78"/>
      <c r="C78"/>
    </row>
    <row r="79" spans="2:3" x14ac:dyDescent="0.4">
      <c r="B79"/>
      <c r="C79"/>
    </row>
    <row r="80" spans="2:3" x14ac:dyDescent="0.4">
      <c r="B80"/>
      <c r="C80"/>
    </row>
    <row r="81" spans="2:3" x14ac:dyDescent="0.4">
      <c r="B81"/>
      <c r="C81"/>
    </row>
    <row r="82" spans="2:3" x14ac:dyDescent="0.4">
      <c r="B82"/>
      <c r="C82"/>
    </row>
    <row r="83" spans="2:3" x14ac:dyDescent="0.4">
      <c r="B83"/>
      <c r="C83"/>
    </row>
    <row r="84" spans="2:3" x14ac:dyDescent="0.4">
      <c r="B84"/>
      <c r="C84"/>
    </row>
    <row r="85" spans="2:3" x14ac:dyDescent="0.4">
      <c r="B85"/>
      <c r="C85"/>
    </row>
    <row r="86" spans="2:3" x14ac:dyDescent="0.4">
      <c r="B86"/>
      <c r="C86"/>
    </row>
    <row r="87" spans="2:3" x14ac:dyDescent="0.4">
      <c r="B87"/>
      <c r="C87"/>
    </row>
    <row r="88" spans="2:3" x14ac:dyDescent="0.4">
      <c r="B88"/>
      <c r="C88"/>
    </row>
    <row r="89" spans="2:3" x14ac:dyDescent="0.4">
      <c r="B89"/>
      <c r="C89"/>
    </row>
    <row r="90" spans="2:3" x14ac:dyDescent="0.4">
      <c r="B90"/>
      <c r="C90"/>
    </row>
    <row r="91" spans="2:3" x14ac:dyDescent="0.4">
      <c r="B91"/>
      <c r="C91"/>
    </row>
    <row r="92" spans="2:3" x14ac:dyDescent="0.4">
      <c r="B92"/>
      <c r="C92"/>
    </row>
    <row r="93" spans="2:3" x14ac:dyDescent="0.4">
      <c r="B93"/>
      <c r="C93"/>
    </row>
    <row r="94" spans="2:3" x14ac:dyDescent="0.4">
      <c r="B94"/>
      <c r="C94"/>
    </row>
    <row r="95" spans="2:3" x14ac:dyDescent="0.4">
      <c r="B95"/>
      <c r="C95"/>
    </row>
    <row r="96" spans="2:3" x14ac:dyDescent="0.4">
      <c r="B96"/>
      <c r="C96"/>
    </row>
    <row r="97" spans="2:3" x14ac:dyDescent="0.4">
      <c r="B97"/>
      <c r="C97"/>
    </row>
    <row r="98" spans="2:3" x14ac:dyDescent="0.4">
      <c r="B98"/>
      <c r="C98"/>
    </row>
    <row r="99" spans="2:3" x14ac:dyDescent="0.4">
      <c r="B99"/>
      <c r="C99"/>
    </row>
    <row r="100" spans="2:3" x14ac:dyDescent="0.4">
      <c r="B100"/>
      <c r="C100"/>
    </row>
    <row r="101" spans="2:3" x14ac:dyDescent="0.4">
      <c r="B101"/>
      <c r="C101"/>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8FF24-C424-4F79-A80C-D9A38B06ECC3}">
  <sheetPr>
    <tabColor theme="4"/>
  </sheetPr>
  <dimension ref="A1:K20"/>
  <sheetViews>
    <sheetView zoomScale="90" zoomScaleNormal="90" workbookViewId="0">
      <selection activeCell="E15" sqref="E15"/>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23.3046875" bestFit="1" customWidth="1"/>
    <col min="7" max="7" width="13.53515625" bestFit="1" customWidth="1"/>
    <col min="8" max="8" width="16.5351562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row>
    <row r="4" spans="1:11" x14ac:dyDescent="0.4">
      <c r="A4" s="11">
        <v>21004</v>
      </c>
      <c r="B4" s="11">
        <f>VLOOKUP(A4,'Project Status'!C:D,2,FALSE)</f>
        <v>1010</v>
      </c>
      <c r="C4" s="11">
        <f>VLOOKUP(A4,'Project Status'!C:E,3,FALSE)</f>
        <v>0</v>
      </c>
      <c r="D4" s="11" t="s">
        <v>443</v>
      </c>
      <c r="E4" s="11" t="s">
        <v>429</v>
      </c>
      <c r="F4" s="11" t="s">
        <v>372</v>
      </c>
      <c r="G4" s="11" t="s">
        <v>318</v>
      </c>
      <c r="H4" s="89">
        <v>0</v>
      </c>
    </row>
    <row r="8" spans="1:11" x14ac:dyDescent="0.4">
      <c r="E8" s="41" t="s">
        <v>124</v>
      </c>
    </row>
    <row r="9" spans="1:11" x14ac:dyDescent="0.4">
      <c r="E9" s="22" t="s">
        <v>445</v>
      </c>
      <c r="F9" t="s">
        <v>139</v>
      </c>
      <c r="H9" s="42">
        <v>54000</v>
      </c>
    </row>
    <row r="10" spans="1:11" x14ac:dyDescent="0.4">
      <c r="E10" s="22"/>
      <c r="H10" s="42"/>
    </row>
    <row r="12" spans="1:11" x14ac:dyDescent="0.4">
      <c r="F12" s="10"/>
      <c r="G12" s="10"/>
      <c r="H12" s="45"/>
    </row>
    <row r="18" spans="5:8" x14ac:dyDescent="0.4">
      <c r="E18" s="136" t="s">
        <v>263</v>
      </c>
      <c r="F18" s="137"/>
      <c r="G18" s="136"/>
      <c r="H18" s="138">
        <f>SUM(H9:H17)</f>
        <v>54000</v>
      </c>
    </row>
    <row r="20" spans="5:8" x14ac:dyDescent="0.4">
      <c r="E20" s="139" t="s">
        <v>136</v>
      </c>
      <c r="F20" s="139"/>
      <c r="G20" s="139"/>
      <c r="H20" s="140">
        <f>H4-H18</f>
        <v>-54000</v>
      </c>
    </row>
  </sheetData>
  <hyperlinks>
    <hyperlink ref="K1" location="'Project Status'!A1" display="'Project Status'!A1" xr:uid="{3F7B5724-6E4A-4D29-9CC2-CE94772EC866}"/>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A1:J24"/>
  <sheetViews>
    <sheetView zoomScaleNormal="100" workbookViewId="0">
      <selection activeCell="F1" sqref="F1"/>
    </sheetView>
  </sheetViews>
  <sheetFormatPr defaultRowHeight="14.6" x14ac:dyDescent="0.4"/>
  <cols>
    <col min="1" max="1" width="5.69140625" customWidth="1"/>
    <col min="2" max="2" width="23.3046875" bestFit="1" customWidth="1"/>
    <col min="3" max="3" width="14.3046875" style="42" bestFit="1" customWidth="1"/>
    <col min="4" max="4" width="5.69140625" customWidth="1"/>
    <col min="6" max="6" width="14.3046875" bestFit="1" customWidth="1"/>
    <col min="8" max="8" width="5.69140625" customWidth="1"/>
    <col min="20" max="20" width="9.3046875" customWidth="1"/>
  </cols>
  <sheetData>
    <row r="1" spans="1:10" x14ac:dyDescent="0.4">
      <c r="A1" s="141" t="s">
        <v>267</v>
      </c>
    </row>
    <row r="2" spans="1:10" x14ac:dyDescent="0.4">
      <c r="B2" s="46" t="s">
        <v>140</v>
      </c>
    </row>
    <row r="3" spans="1:10" x14ac:dyDescent="0.4">
      <c r="B3" t="s">
        <v>142</v>
      </c>
    </row>
    <row r="4" spans="1:10" x14ac:dyDescent="0.4">
      <c r="B4" s="47" t="s">
        <v>141</v>
      </c>
      <c r="C4" s="48">
        <f>Contributions!C15</f>
        <v>9364499</v>
      </c>
    </row>
    <row r="5" spans="1:10" x14ac:dyDescent="0.4">
      <c r="B5" s="51" t="s">
        <v>145</v>
      </c>
      <c r="C5" s="52">
        <f>SUM(C1:C4)</f>
        <v>9364499</v>
      </c>
      <c r="J5" s="22"/>
    </row>
    <row r="8" spans="1:10" x14ac:dyDescent="0.4">
      <c r="B8" t="s">
        <v>143</v>
      </c>
      <c r="F8" s="43"/>
    </row>
    <row r="9" spans="1:10" x14ac:dyDescent="0.4">
      <c r="B9" s="22" t="s">
        <v>134</v>
      </c>
      <c r="C9" s="42">
        <f>SUMIF('10085'!$E:$E,'JE LOG_FY23'!B9,'10085'!$H:$H)+SUMIF('10098'!$E:$E,'JE LOG_FY23'!B9,'10098'!$H:$H)+SUMIF('10146'!$E:$E,'JE LOG_FY23'!B9,'10146'!$H:$H)+SUMIF('20179'!$E:$E,'JE LOG_FY23'!B9,'20179'!$H:$H)+SUMIF('20336'!$E:$E,'JE LOG_FY23'!B9,'20336'!$H:$H)+SUMIF('20431'!$E:$E,'JE LOG_FY23'!B9,'20431'!$H:$H)+SUMIF('20478'!$E:$E,'JE LOG_FY23'!B9,'20478'!$H:$H)+SUMIF('20489'!$E:$E,'JE LOG_FY23'!B9,'20489'!$H:$H)+SUMIF('20497'!$E:$E,'JE LOG_FY23'!B9,'20497'!$H:$H)+SUMIF('20506'!$E:$E,'JE LOG_FY23'!B9,'20506'!$H:$H)++SUMIF('20562'!$E:$E,'JE LOG_FY23'!B9,'20562'!$H:$H)+SUMIF('20566'!$E:$E,'JE LOG_FY23'!B9,'20566'!$H:$H)+SUMIF('20573'!$E:$E,'JE LOG_FY23'!B9,'20573'!$H:$H)+SUMIF('20574'!$E:$E,'JE LOG_FY23'!B9,'20574'!$H:$H)+SUMIF('20577'!$E:$E,'JE LOG_FY23'!B9,'20577'!$H:$H)+SUMIF('20644'!$E:$E,'JE LOG_FY23'!B9,'20644'!$H:$H)+SUMIF('20645'!$E:$E,'JE LOG_FY23'!B9,'20645'!$H:$H)+SUMIF('20667'!$E:$E,'JE LOG_FY23'!B9,'20667'!$H:$H)+SUMIF('20668'!$E:$E,'JE LOG_FY23'!B9,'20668'!$H:$H)+SUMIF('20698'!$E:$E,'JE LOG_FY23'!B9,'20698'!$H:$H)+SUMIF('20700'!$E:$E,'JE LOG_FY23'!B9,'20700'!$H:$H)+SUMIF('20701'!$E:$E,'JE LOG_FY23'!B9,'20701'!$H:$H)+SUMIF('20702'!$E:$E,'JE LOG_FY23'!B9,'20702'!$H:$H)+SUMIF('20718'!$E:$E,'JE LOG_FY23'!B9,'20718'!$H:$H)+SUMIF('20723'!$E:$E,'JE LOG_FY23'!B9,'20723'!$H:$H)+SUMIF('20724'!$E:$E,'JE LOG_FY23'!B9,'20724'!$H:$H)+SUMIF('20771'!$E:$E,'JE LOG_FY23'!B9,'20771'!$H:$H)+SUMIF('20735'!$E:$E,'JE LOG_FY23'!B9,'20735'!$H:$H)+SUMIF('20792'!$E:$E,'JE LOG_FY23'!B9,'20792'!$H:$H)</f>
        <v>2018595.5</v>
      </c>
      <c r="F9" s="134"/>
    </row>
    <row r="10" spans="1:10" x14ac:dyDescent="0.4">
      <c r="B10" s="22" t="s">
        <v>166</v>
      </c>
      <c r="C10" s="42">
        <f>SUMIF('10085'!$E:$E,'JE LOG_FY23'!B10,'10085'!$H:$H)+SUMIF('10098'!$E:$E,'JE LOG_FY23'!B10,'10098'!$H:$H)+SUMIF('10146'!$E:$E,'JE LOG_FY23'!B10,'10146'!$H:$H)+SUMIF('20179'!$E:$E,'JE LOG_FY23'!B10,'20179'!$H:$H)+SUMIF('20336'!$E:$E,'JE LOG_FY23'!B10,'20336'!$H:$H)+SUMIF('20431'!$E:$E,'JE LOG_FY23'!B10,'20431'!$H:$H)+SUMIF('20478'!$E:$E,'JE LOG_FY23'!B10,'20478'!$H:$H)+SUMIF('20489'!$E:$E,'JE LOG_FY23'!B10,'20489'!$H:$H)+SUMIF('20497'!$E:$E,'JE LOG_FY23'!B10,'20497'!$H:$H)+SUMIF('20506'!$E:$E,'JE LOG_FY23'!B10,'20506'!$H:$H)++SUMIF('20562'!$E:$E,'JE LOG_FY23'!B10,'20562'!$H:$H)+SUMIF('20566'!$E:$E,'JE LOG_FY23'!B10,'20566'!$H:$H)+SUMIF('20573'!$E:$E,'JE LOG_FY23'!B10,'20573'!$H:$H)+SUMIF('20574'!$E:$E,'JE LOG_FY23'!B10,'20574'!$H:$H)+SUMIF('20577'!$E:$E,'JE LOG_FY23'!B10,'20577'!$H:$H)+SUMIF('20644'!$E:$E,'JE LOG_FY23'!B10,'20644'!$H:$H)+SUMIF('20645'!$E:$E,'JE LOG_FY23'!B10,'20645'!$H:$H)+SUMIF('20667'!$E:$E,'JE LOG_FY23'!B10,'20667'!$H:$H)+SUMIF('20668'!$E:$E,'JE LOG_FY23'!B10,'20668'!$H:$H)+SUMIF('20698'!$E:$E,'JE LOG_FY23'!B10,'20698'!$H:$H)+SUMIF('20700'!$E:$E,'JE LOG_FY23'!B10,'20700'!$H:$H)+SUMIF('20701'!$E:$E,'JE LOG_FY23'!B10,'20701'!$H:$H)+SUMIF('20702'!$E:$E,'JE LOG_FY23'!B10,'20702'!$H:$H)+SUMIF('20718'!$E:$E,'JE LOG_FY23'!B10,'20718'!$H:$H)+SUMIF('20723'!$E:$E,'JE LOG_FY23'!B10,'20723'!$H:$H)+SUMIF('20724'!$E:$E,'JE LOG_FY23'!B10,'20724'!$H:$H)+SUMIF('20771'!$E:$E,'JE LOG_FY23'!B10,'20771'!$H:$H)+SUMIF('20735'!$E:$E,'JE LOG_FY23'!B10,'20735'!$H:$H)+SUMIF('20792'!$E:$E,'JE LOG_FY23'!B10,'20792'!$H:$H)</f>
        <v>85900</v>
      </c>
      <c r="F10" s="134"/>
    </row>
    <row r="11" spans="1:10" x14ac:dyDescent="0.4">
      <c r="B11" s="22" t="s">
        <v>175</v>
      </c>
      <c r="C11" s="42">
        <f>SUMIF('10085'!$E:$E,'JE LOG_FY23'!B11,'10085'!$H:$H)+SUMIF('10098'!$E:$E,'JE LOG_FY23'!B11,'10098'!$H:$H)+SUMIF('10146'!$E:$E,'JE LOG_FY23'!B11,'10146'!$H:$H)+SUMIF('20179'!$E:$E,'JE LOG_FY23'!B11,'20179'!$H:$H)+SUMIF('20336'!$E:$E,'JE LOG_FY23'!B11,'20336'!$H:$H)+SUMIF('20431'!$E:$E,'JE LOG_FY23'!B11,'20431'!$H:$H)+SUMIF('20478'!$E:$E,'JE LOG_FY23'!B11,'20478'!$H:$H)+SUMIF('20489'!$E:$E,'JE LOG_FY23'!B11,'20489'!$H:$H)+SUMIF('20497'!$E:$E,'JE LOG_FY23'!B11,'20497'!$H:$H)+SUMIF('20506'!$E:$E,'JE LOG_FY23'!B11,'20506'!$H:$H)++SUMIF('20562'!$E:$E,'JE LOG_FY23'!B11,'20562'!$H:$H)+SUMIF('20566'!$E:$E,'JE LOG_FY23'!B11,'20566'!$H:$H)+SUMIF('20573'!$E:$E,'JE LOG_FY23'!B11,'20573'!$H:$H)+SUMIF('20574'!$E:$E,'JE LOG_FY23'!B11,'20574'!$H:$H)+SUMIF('20577'!$E:$E,'JE LOG_FY23'!B11,'20577'!$H:$H)+SUMIF('20644'!$E:$E,'JE LOG_FY23'!B11,'20644'!$H:$H)+SUMIF('20645'!$E:$E,'JE LOG_FY23'!B11,'20645'!$H:$H)+SUMIF('20667'!$E:$E,'JE LOG_FY23'!B11,'20667'!$H:$H)+SUMIF('20668'!$E:$E,'JE LOG_FY23'!B11,'20668'!$H:$H)+SUMIF('20698'!$E:$E,'JE LOG_FY23'!B11,'20698'!$H:$H)+SUMIF('20700'!$E:$E,'JE LOG_FY23'!B11,'20700'!$H:$H)+SUMIF('20701'!$E:$E,'JE LOG_FY23'!B11,'20701'!$H:$H)+SUMIF('20702'!$E:$E,'JE LOG_FY23'!B11,'20702'!$H:$H)+SUMIF('20718'!$E:$E,'JE LOG_FY23'!B11,'20718'!$H:$H)+SUMIF('20723'!$E:$E,'JE LOG_FY23'!B11,'20723'!$H:$H)+SUMIF('20724'!$E:$E,'JE LOG_FY23'!B11,'20724'!$H:$H)+SUMIF('20771'!$E:$E,'JE LOG_FY23'!B11,'20771'!$H:$H)+SUMIF('20735'!$E:$E,'JE LOG_FY23'!B11,'20735'!$H:$H)+SUMIF('20792'!$E:$E,'JE LOG_FY23'!B11,'20792'!$H:$H)</f>
        <v>197362.5</v>
      </c>
      <c r="F11" s="134"/>
    </row>
    <row r="12" spans="1:10" x14ac:dyDescent="0.4">
      <c r="B12" s="22" t="s">
        <v>214</v>
      </c>
      <c r="C12" s="42">
        <f>SUMIF('10085'!$E:$E,'JE LOG_FY23'!B12,'10085'!$H:$H)+SUMIF('10098'!$E:$E,'JE LOG_FY23'!B12,'10098'!$H:$H)+SUMIF('10146'!$E:$E,'JE LOG_FY23'!B12,'10146'!$H:$H)+SUMIF('20179'!$E:$E,'JE LOG_FY23'!B12,'20179'!$H:$H)+SUMIF('20336'!$E:$E,'JE LOG_FY23'!B12,'20336'!$H:$H)+SUMIF('20431'!$E:$E,'JE LOG_FY23'!B12,'20431'!$H:$H)+SUMIF('20478'!$E:$E,'JE LOG_FY23'!B12,'20478'!$H:$H)+SUMIF('20489'!$E:$E,'JE LOG_FY23'!B12,'20489'!$H:$H)+SUMIF('20497'!$E:$E,'JE LOG_FY23'!B12,'20497'!$H:$H)+SUMIF('20506'!$E:$E,'JE LOG_FY23'!B12,'20506'!$H:$H)++SUMIF('20562'!$E:$E,'JE LOG_FY23'!B12,'20562'!$H:$H)+SUMIF('20566'!$E:$E,'JE LOG_FY23'!B12,'20566'!$H:$H)+SUMIF('20573'!$E:$E,'JE LOG_FY23'!B12,'20573'!$H:$H)+SUMIF('20574'!$E:$E,'JE LOG_FY23'!B12,'20574'!$H:$H)+SUMIF('20577'!$E:$E,'JE LOG_FY23'!B12,'20577'!$H:$H)+SUMIF('20644'!$E:$E,'JE LOG_FY23'!B12,'20644'!$H:$H)+SUMIF('20645'!$E:$E,'JE LOG_FY23'!B12,'20645'!$H:$H)+SUMIF('20667'!$E:$E,'JE LOG_FY23'!B12,'20667'!$H:$H)+SUMIF('20668'!$E:$E,'JE LOG_FY23'!B12,'20668'!$H:$H)+SUMIF('20698'!$E:$E,'JE LOG_FY23'!B12,'20698'!$H:$H)+SUMIF('20700'!$E:$E,'JE LOG_FY23'!B12,'20700'!$H:$H)+SUMIF('20701'!$E:$E,'JE LOG_FY23'!B12,'20701'!$H:$H)+SUMIF('20702'!$E:$E,'JE LOG_FY23'!B12,'20702'!$H:$H)+SUMIF('20718'!$E:$E,'JE LOG_FY23'!B12,'20718'!$H:$H)+SUMIF('20723'!$E:$E,'JE LOG_FY23'!B12,'20723'!$H:$H)+SUMIF('20724'!$E:$E,'JE LOG_FY23'!B12,'20724'!$H:$H)+SUMIF('20771'!$E:$E,'JE LOG_FY23'!B12,'20771'!$H:$H)+SUMIF('20735'!$E:$E,'JE LOG_FY23'!B12,'20735'!$H:$H)+SUMIF('20792'!$E:$E,'JE LOG_FY23'!B12,'20792'!$H:$H)</f>
        <v>791392</v>
      </c>
      <c r="F12" s="134"/>
    </row>
    <row r="13" spans="1:10" x14ac:dyDescent="0.4">
      <c r="B13" s="22" t="s">
        <v>225</v>
      </c>
      <c r="C13" s="42">
        <f>SUMIF('10085'!$E:$E,'JE LOG_FY23'!B13,'10085'!$H:$H)+SUMIF('10098'!$E:$E,'JE LOG_FY23'!B13,'10098'!$H:$H)+SUMIF('10146'!$E:$E,'JE LOG_FY23'!B13,'10146'!$H:$H)+SUMIF('20179'!$E:$E,'JE LOG_FY23'!B13,'20179'!$H:$H)+SUMIF('20336'!$E:$E,'JE LOG_FY23'!B13,'20336'!$H:$H)+SUMIF('20431'!$E:$E,'JE LOG_FY23'!B13,'20431'!$H:$H)+SUMIF('20478'!$E:$E,'JE LOG_FY23'!B13,'20478'!$H:$H)+SUMIF('20489'!$E:$E,'JE LOG_FY23'!B13,'20489'!$H:$H)+SUMIF('20497'!$E:$E,'JE LOG_FY23'!B13,'20497'!$H:$H)+SUMIF('20506'!$E:$E,'JE LOG_FY23'!B13,'20506'!$H:$H)++SUMIF('20562'!$E:$E,'JE LOG_FY23'!B13,'20562'!$H:$H)+SUMIF('20566'!$E:$E,'JE LOG_FY23'!B13,'20566'!$H:$H)+SUMIF('20573'!$E:$E,'JE LOG_FY23'!B13,'20573'!$H:$H)+SUMIF('20574'!$E:$E,'JE LOG_FY23'!B13,'20574'!$H:$H)+SUMIF('20577'!$E:$E,'JE LOG_FY23'!B13,'20577'!$H:$H)+SUMIF('20644'!$E:$E,'JE LOG_FY23'!B13,'20644'!$H:$H)+SUMIF('20645'!$E:$E,'JE LOG_FY23'!B13,'20645'!$H:$H)+SUMIF('20667'!$E:$E,'JE LOG_FY23'!B13,'20667'!$H:$H)+SUMIF('20668'!$E:$E,'JE LOG_FY23'!B13,'20668'!$H:$H)+SUMIF('20698'!$E:$E,'JE LOG_FY23'!B13,'20698'!$H:$H)+SUMIF('20700'!$E:$E,'JE LOG_FY23'!B13,'20700'!$H:$H)+SUMIF('20701'!$E:$E,'JE LOG_FY23'!B13,'20701'!$H:$H)+SUMIF('20702'!$E:$E,'JE LOG_FY23'!B13,'20702'!$H:$H)+SUMIF('20718'!$E:$E,'JE LOG_FY23'!B13,'20718'!$H:$H)+SUMIF('20723'!$E:$E,'JE LOG_FY23'!B13,'20723'!$H:$H)+SUMIF('20724'!$E:$E,'JE LOG_FY23'!B13,'20724'!$H:$H)+SUMIF('20771'!$E:$E,'JE LOG_FY23'!B13,'20771'!$H:$H)+SUMIF('20735'!$E:$E,'JE LOG_FY23'!B13,'20735'!$H:$H)+SUMIF('20792'!$E:$E,'JE LOG_FY23'!B13,'20792'!$H:$H)</f>
        <v>776870</v>
      </c>
      <c r="F13" s="134"/>
    </row>
    <row r="14" spans="1:10" x14ac:dyDescent="0.4">
      <c r="B14" s="22" t="s">
        <v>230</v>
      </c>
      <c r="C14" s="42">
        <f>SUMIF('10085'!$E:$E,'JE LOG_FY23'!B14,'10085'!$H:$H)+SUMIF('10098'!$E:$E,'JE LOG_FY23'!B14,'10098'!$H:$H)+SUMIF('10146'!$E:$E,'JE LOG_FY23'!B14,'10146'!$H:$H)+SUMIF('20179'!$E:$E,'JE LOG_FY23'!B14,'20179'!$H:$H)+SUMIF('20336'!$E:$E,'JE LOG_FY23'!B14,'20336'!$H:$H)+SUMIF('20431'!$E:$E,'JE LOG_FY23'!B14,'20431'!$H:$H)+SUMIF('20478'!$E:$E,'JE LOG_FY23'!B14,'20478'!$H:$H)+SUMIF('20489'!$E:$E,'JE LOG_FY23'!B14,'20489'!$H:$H)+SUMIF('20497'!$E:$E,'JE LOG_FY23'!B14,'20497'!$H:$H)+SUMIF('20506'!$E:$E,'JE LOG_FY23'!B14,'20506'!$H:$H)++SUMIF('20562'!$E:$E,'JE LOG_FY23'!B14,'20562'!$H:$H)+SUMIF('20566'!$E:$E,'JE LOG_FY23'!B14,'20566'!$H:$H)+SUMIF('20573'!$E:$E,'JE LOG_FY23'!B14,'20573'!$H:$H)+SUMIF('20574'!$E:$E,'JE LOG_FY23'!B14,'20574'!$H:$H)+SUMIF('20577'!$E:$E,'JE LOG_FY23'!B14,'20577'!$H:$H)+SUMIF('20644'!$E:$E,'JE LOG_FY23'!B14,'20644'!$H:$H)+SUMIF('20645'!$E:$E,'JE LOG_FY23'!B14,'20645'!$H:$H)+SUMIF('20667'!$E:$E,'JE LOG_FY23'!B14,'20667'!$H:$H)+SUMIF('20668'!$E:$E,'JE LOG_FY23'!B14,'20668'!$H:$H)+SUMIF('20698'!$E:$E,'JE LOG_FY23'!B14,'20698'!$H:$H)+SUMIF('20700'!$E:$E,'JE LOG_FY23'!B14,'20700'!$H:$H)+SUMIF('20701'!$E:$E,'JE LOG_FY23'!B14,'20701'!$H:$H)+SUMIF('20702'!$E:$E,'JE LOG_FY23'!B14,'20702'!$H:$H)+SUMIF('20718'!$E:$E,'JE LOG_FY23'!B14,'20718'!$H:$H)+SUMIF('20723'!$E:$E,'JE LOG_FY23'!B14,'20723'!$H:$H)+SUMIF('20724'!$E:$E,'JE LOG_FY23'!B14,'20724'!$H:$H)+SUMIF('20771'!$E:$E,'JE LOG_FY23'!B14,'20771'!$H:$H)+SUMIF('20735'!$E:$E,'JE LOG_FY23'!B14,'20735'!$H:$H)+SUMIF('20792'!$E:$E,'JE LOG_FY23'!B14,'20792'!$H:$H)</f>
        <v>823832</v>
      </c>
      <c r="F14" s="134"/>
    </row>
    <row r="15" spans="1:10" x14ac:dyDescent="0.4">
      <c r="B15" s="22" t="s">
        <v>237</v>
      </c>
      <c r="C15" s="42">
        <f>SUMIF('10085'!$E:$E,'JE LOG_FY23'!B15,'10085'!$H:$H)+SUMIF('10098'!$E:$E,'JE LOG_FY23'!B15,'10098'!$H:$H)+SUMIF('10146'!$E:$E,'JE LOG_FY23'!B15,'10146'!$H:$H)+SUMIF('20179'!$E:$E,'JE LOG_FY23'!B15,'20179'!$H:$H)+SUMIF('20336'!$E:$E,'JE LOG_FY23'!B15,'20336'!$H:$H)+SUMIF('20431'!$E:$E,'JE LOG_FY23'!B15,'20431'!$H:$H)+SUMIF('20478'!$E:$E,'JE LOG_FY23'!B15,'20478'!$H:$H)+SUMIF('20489'!$E:$E,'JE LOG_FY23'!B15,'20489'!$H:$H)+SUMIF('20497'!$E:$E,'JE LOG_FY23'!B15,'20497'!$H:$H)+SUMIF('20506'!$E:$E,'JE LOG_FY23'!B15,'20506'!$H:$H)++SUMIF('20562'!$E:$E,'JE LOG_FY23'!B15,'20562'!$H:$H)+SUMIF('20566'!$E:$E,'JE LOG_FY23'!B15,'20566'!$H:$H)+SUMIF('20573'!$E:$E,'JE LOG_FY23'!B15,'20573'!$H:$H)+SUMIF('20574'!$E:$E,'JE LOG_FY23'!B15,'20574'!$H:$H)+SUMIF('20577'!$E:$E,'JE LOG_FY23'!B15,'20577'!$H:$H)+SUMIF('20644'!$E:$E,'JE LOG_FY23'!B15,'20644'!$H:$H)+SUMIF('20645'!$E:$E,'JE LOG_FY23'!B15,'20645'!$H:$H)+SUMIF('20667'!$E:$E,'JE LOG_FY23'!B15,'20667'!$H:$H)+SUMIF('20668'!$E:$E,'JE LOG_FY23'!B15,'20668'!$H:$H)+SUMIF('20698'!$E:$E,'JE LOG_FY23'!B15,'20698'!$H:$H)+SUMIF('20700'!$E:$E,'JE LOG_FY23'!B15,'20700'!$H:$H)+SUMIF('20701'!$E:$E,'JE LOG_FY23'!B15,'20701'!$H:$H)+SUMIF('20702'!$E:$E,'JE LOG_FY23'!B15,'20702'!$H:$H)+SUMIF('20718'!$E:$E,'JE LOG_FY23'!B15,'20718'!$H:$H)+SUMIF('20723'!$E:$E,'JE LOG_FY23'!B15,'20723'!$H:$H)+SUMIF('20724'!$E:$E,'JE LOG_FY23'!B15,'20724'!$H:$H)+SUMIF('20771'!$E:$E,'JE LOG_FY23'!B15,'20771'!$H:$H)+SUMIF('20735'!$E:$E,'JE LOG_FY23'!B15,'20735'!$H:$H)+SUMIF('20792'!$E:$E,'JE LOG_FY23'!B15,'20792'!$H:$H)</f>
        <v>1294681</v>
      </c>
      <c r="F15" s="134"/>
    </row>
    <row r="16" spans="1:10" x14ac:dyDescent="0.4">
      <c r="B16" s="22" t="s">
        <v>248</v>
      </c>
      <c r="C16" s="42">
        <f>SUMIF('10085'!$E:$E,'JE LOG_FY23'!B16,'10085'!$H:$H)+SUMIF('10098'!$E:$E,'JE LOG_FY23'!B16,'10098'!$H:$H)+SUMIF('10146'!$E:$E,'JE LOG_FY23'!B16,'10146'!$H:$H)+SUMIF('20179'!$E:$E,'JE LOG_FY23'!B16,'20179'!$H:$H)+SUMIF('20336'!$E:$E,'JE LOG_FY23'!B16,'20336'!$H:$H)+SUMIF('20431'!$E:$E,'JE LOG_FY23'!B16,'20431'!$H:$H)+SUMIF('20478'!$E:$E,'JE LOG_FY23'!B16,'20478'!$H:$H)+SUMIF('20489'!$E:$E,'JE LOG_FY23'!B16,'20489'!$H:$H)+SUMIF('20497'!$E:$E,'JE LOG_FY23'!B16,'20497'!$H:$H)+SUMIF('20506'!$E:$E,'JE LOG_FY23'!B16,'20506'!$H:$H)++SUMIF('20562'!$E:$E,'JE LOG_FY23'!B16,'20562'!$H:$H)+SUMIF('20566'!$E:$E,'JE LOG_FY23'!B16,'20566'!$H:$H)+SUMIF('20573'!$E:$E,'JE LOG_FY23'!B16,'20573'!$H:$H)+SUMIF('20574'!$E:$E,'JE LOG_FY23'!B16,'20574'!$H:$H)+SUMIF('20577'!$E:$E,'JE LOG_FY23'!B16,'20577'!$H:$H)+SUMIF('20644'!$E:$E,'JE LOG_FY23'!B16,'20644'!$H:$H)+SUMIF('20645'!$E:$E,'JE LOG_FY23'!B16,'20645'!$H:$H)+SUMIF('20667'!$E:$E,'JE LOG_FY23'!B16,'20667'!$H:$H)+SUMIF('20668'!$E:$E,'JE LOG_FY23'!B16,'20668'!$H:$H)+SUMIF('20698'!$E:$E,'JE LOG_FY23'!B16,'20698'!$H:$H)+SUMIF('20700'!$E:$E,'JE LOG_FY23'!B16,'20700'!$H:$H)+SUMIF('20701'!$E:$E,'JE LOG_FY23'!B16,'20701'!$H:$H)+SUMIF('20702'!$E:$E,'JE LOG_FY23'!B16,'20702'!$H:$H)+SUMIF('20718'!$E:$E,'JE LOG_FY23'!B16,'20718'!$H:$H)+SUMIF('20723'!$E:$E,'JE LOG_FY23'!B16,'20723'!$H:$H)+SUMIF('20724'!$E:$E,'JE LOG_FY23'!B16,'20724'!$H:$H)+SUMIF('20771'!$E:$E,'JE LOG_FY23'!B16,'20771'!$H:$H)+SUMIF('20735'!$E:$E,'JE LOG_FY23'!B16,'20735'!$H:$H)+SUMIF('20792'!$E:$E,'JE LOG_FY23'!B16,'20792'!$H:$H)</f>
        <v>730127</v>
      </c>
      <c r="F16" s="134"/>
    </row>
    <row r="17" spans="1:8" x14ac:dyDescent="0.4">
      <c r="B17" s="22" t="s">
        <v>264</v>
      </c>
      <c r="C17" s="42">
        <f>SUMIF('10085'!$E:$E,'JE LOG_FY23'!B17,'10085'!$H:$H)+SUMIF('10098'!$E:$E,'JE LOG_FY23'!B17,'10098'!$H:$H)+SUMIF('10146'!$E:$E,'JE LOG_FY23'!B17,'10146'!$H:$H)+SUMIF('20179'!$E:$E,'JE LOG_FY23'!B17,'20179'!$H:$H)+SUMIF('20336'!$E:$E,'JE LOG_FY23'!B17,'20336'!$H:$H)+SUMIF('20431'!$E:$E,'JE LOG_FY23'!B17,'20431'!$H:$H)+SUMIF('20478'!$E:$E,'JE LOG_FY23'!B17,'20478'!$H:$H)+SUMIF('20489'!$E:$E,'JE LOG_FY23'!B17,'20489'!$H:$H)+SUMIF('20497'!$E:$E,'JE LOG_FY23'!B17,'20497'!$H:$H)+SUMIF('20506'!$E:$E,'JE LOG_FY23'!B17,'20506'!$H:$H)++SUMIF('20562'!$E:$E,'JE LOG_FY23'!B17,'20562'!$H:$H)+SUMIF('20566'!$E:$E,'JE LOG_FY23'!B17,'20566'!$H:$H)+SUMIF('20573'!$E:$E,'JE LOG_FY23'!B17,'20573'!$H:$H)+SUMIF('20574'!$E:$E,'JE LOG_FY23'!B17,'20574'!$H:$H)+SUMIF('20577'!$E:$E,'JE LOG_FY23'!B17,'20577'!$H:$H)+SUMIF('20644'!$E:$E,'JE LOG_FY23'!B17,'20644'!$H:$H)+SUMIF('20645'!$E:$E,'JE LOG_FY23'!B17,'20645'!$H:$H)+SUMIF('20667'!$E:$E,'JE LOG_FY23'!B17,'20667'!$H:$H)+SUMIF('20668'!$E:$E,'JE LOG_FY23'!B17,'20668'!$H:$H)+SUMIF('20698'!$E:$E,'JE LOG_FY23'!B17,'20698'!$H:$H)+SUMIF('20700'!$E:$E,'JE LOG_FY23'!B17,'20700'!$H:$H)+SUMIF('20701'!$E:$E,'JE LOG_FY23'!B17,'20701'!$H:$H)+SUMIF('20702'!$E:$E,'JE LOG_FY23'!B17,'20702'!$H:$H)+SUMIF('20718'!$E:$E,'JE LOG_FY23'!B17,'20718'!$H:$H)+SUMIF('20723'!$E:$E,'JE LOG_FY23'!B17,'20723'!$H:$H)+SUMIF('20724'!$E:$E,'JE LOG_FY23'!B17,'20724'!$H:$H)+SUMIF('20771'!$E:$E,'JE LOG_FY23'!B17,'20771'!$H:$H)+SUMIF('20735'!$E:$E,'JE LOG_FY23'!B17,'20735'!$H:$H)+SUMIF('20792'!$E:$E,'JE LOG_FY23'!B17,'20792'!$H:$H)</f>
        <v>1067545.26</v>
      </c>
      <c r="F17" s="42"/>
    </row>
    <row r="18" spans="1:8" x14ac:dyDescent="0.4">
      <c r="B18" s="22" t="s">
        <v>270</v>
      </c>
      <c r="C18" s="42">
        <f>SUMIF('10085'!$E:$E,'JE LOG_FY23'!B18,'10085'!$H:$H)+SUMIF('10098'!$E:$E,'JE LOG_FY23'!B18,'10098'!$H:$H)+SUMIF('10146'!$E:$E,'JE LOG_FY23'!B18,'10146'!$H:$H)+SUMIF('20179'!$E:$E,'JE LOG_FY23'!B18,'20179'!$H:$H)+SUMIF('20336'!$E:$E,'JE LOG_FY23'!B18,'20336'!$H:$H)+SUMIF('20431'!$E:$E,'JE LOG_FY23'!B18,'20431'!$H:$H)+SUMIF('20478'!$E:$E,'JE LOG_FY23'!B18,'20478'!$H:$H)+SUMIF('20489'!$E:$E,'JE LOG_FY23'!B18,'20489'!$H:$H)+SUMIF('20497'!$E:$E,'JE LOG_FY23'!B18,'20497'!$H:$H)+SUMIF('20506'!$E:$E,'JE LOG_FY23'!B18,'20506'!$H:$H)++SUMIF('20562'!$E:$E,'JE LOG_FY23'!B18,'20562'!$H:$H)+SUMIF('20566'!$E:$E,'JE LOG_FY23'!B18,'20566'!$H:$H)+SUMIF('20573'!$E:$E,'JE LOG_FY23'!B18,'20573'!$H:$H)+SUMIF('20574'!$E:$E,'JE LOG_FY23'!B18,'20574'!$H:$H)+SUMIF('20577'!$E:$E,'JE LOG_FY23'!B18,'20577'!$H:$H)+SUMIF('20644'!$E:$E,'JE LOG_FY23'!B18,'20644'!$H:$H)+SUMIF('20645'!$E:$E,'JE LOG_FY23'!B18,'20645'!$H:$H)+SUMIF('20667'!$E:$E,'JE LOG_FY23'!B18,'20667'!$H:$H)+SUMIF('20668'!$E:$E,'JE LOG_FY23'!B18,'20668'!$H:$H)+SUMIF('20698'!$E:$E,'JE LOG_FY23'!B18,'20698'!$H:$H)+SUMIF('20700'!$E:$E,'JE LOG_FY23'!B18,'20700'!$H:$H)+SUMIF('20701'!$E:$E,'JE LOG_FY23'!B18,'20701'!$H:$H)+SUMIF('20702'!$E:$E,'JE LOG_FY23'!B18,'20702'!$H:$H)+SUMIF('20718'!$E:$E,'JE LOG_FY23'!B18,'20718'!$H:$H)+SUMIF('20723'!$E:$E,'JE LOG_FY23'!B18,'20723'!$H:$H)+SUMIF('20724'!$E:$E,'JE LOG_FY23'!B18,'20724'!$H:$H)+SUMIF('20771'!$E:$E,'JE LOG_FY23'!B18,'20771'!$H:$H)+SUMIF('20735'!$E:$E,'JE LOG_FY23'!B18,'20735'!$H:$H)+SUMIF('20792'!$E:$E,'JE LOG_FY23'!B18,'20792'!$H:$H)</f>
        <v>305700</v>
      </c>
      <c r="F18" s="42"/>
    </row>
    <row r="19" spans="1:8" x14ac:dyDescent="0.4">
      <c r="B19" s="22" t="s">
        <v>275</v>
      </c>
      <c r="C19" s="42">
        <f>SUMIF('10085'!$E:$E,'JE LOG_FY23'!B19,'10085'!$H:$H)+SUMIF('10098'!$E:$E,'JE LOG_FY23'!B19,'10098'!$H:$H)+SUMIF('10146'!$E:$E,'JE LOG_FY23'!B19,'10146'!$H:$H)+SUMIF('20179'!$E:$E,'JE LOG_FY23'!B19,'20179'!$H:$H)+SUMIF('20336'!$E:$E,'JE LOG_FY23'!B19,'20336'!$H:$H)+SUMIF('20431'!$E:$E,'JE LOG_FY23'!B19,'20431'!$H:$H)+SUMIF('20478'!$E:$E,'JE LOG_FY23'!B19,'20478'!$H:$H)+SUMIF('20489'!$E:$E,'JE LOG_FY23'!B19,'20489'!$H:$H)+SUMIF('20497'!$E:$E,'JE LOG_FY23'!B19,'20497'!$H:$H)+SUMIF('20506'!$E:$E,'JE LOG_FY23'!B19,'20506'!$H:$H)++SUMIF('20562'!$E:$E,'JE LOG_FY23'!B19,'20562'!$H:$H)+SUMIF('20566'!$E:$E,'JE LOG_FY23'!B19,'20566'!$H:$H)+SUMIF('20573'!$E:$E,'JE LOG_FY23'!B19,'20573'!$H:$H)+SUMIF('20574'!$E:$E,'JE LOG_FY23'!B19,'20574'!$H:$H)+SUMIF('20577'!$E:$E,'JE LOG_FY23'!B19,'20577'!$H:$H)+SUMIF('20644'!$E:$E,'JE LOG_FY23'!B19,'20644'!$H:$H)+SUMIF('20645'!$E:$E,'JE LOG_FY23'!B19,'20645'!$H:$H)+SUMIF('20667'!$E:$E,'JE LOG_FY23'!B19,'20667'!$H:$H)+SUMIF('20668'!$E:$E,'JE LOG_FY23'!B19,'20668'!$H:$H)+SUMIF('20698'!$E:$E,'JE LOG_FY23'!B19,'20698'!$H:$H)+SUMIF('20700'!$E:$E,'JE LOG_FY23'!B19,'20700'!$H:$H)+SUMIF('20701'!$E:$E,'JE LOG_FY23'!B19,'20701'!$H:$H)+SUMIF('20702'!$E:$E,'JE LOG_FY23'!B19,'20702'!$H:$H)+SUMIF('20718'!$E:$E,'JE LOG_FY23'!B19,'20718'!$H:$H)+SUMIF('20723'!$E:$E,'JE LOG_FY23'!B19,'20723'!$H:$H)+SUMIF('20724'!$E:$E,'JE LOG_FY23'!B19,'20724'!$H:$H)+SUMIF('20771'!$E:$E,'JE LOG_FY23'!B19,'20771'!$H:$H)+SUMIF('20735'!$E:$E,'JE LOG_FY23'!B19,'20735'!$H:$H)+SUMIF('20792'!$E:$E,'JE LOG_FY23'!B19,'20792'!$H:$H)</f>
        <v>226341</v>
      </c>
    </row>
    <row r="20" spans="1:8" x14ac:dyDescent="0.4">
      <c r="B20" s="47" t="s">
        <v>299</v>
      </c>
      <c r="C20" s="48">
        <f>SUMIF('10085'!$E:$E,'JE LOG_FY23'!B20,'10085'!$H:$H)+SUMIF('10098'!$E:$E,'JE LOG_FY23'!B20,'10098'!$H:$H)+SUMIF('10146'!$E:$E,'JE LOG_FY23'!B20,'10146'!$H:$H)+SUMIF('20179'!$E:$E,'JE LOG_FY23'!B20,'20179'!$H:$H)+SUMIF('20336'!$E:$E,'JE LOG_FY23'!B20,'20336'!$H:$H)+SUMIF('20431'!$E:$E,'JE LOG_FY23'!B20,'20431'!$H:$H)+SUMIF('20478'!$E:$E,'JE LOG_FY23'!B20,'20478'!$H:$H)+SUMIF('20489'!$E:$E,'JE LOG_FY23'!B20,'20489'!$H:$H)+SUMIF('20497'!$E:$E,'JE LOG_FY23'!B20,'20497'!$H:$H)+SUMIF('20506'!$E:$E,'JE LOG_FY23'!B20,'20506'!$H:$H)++SUMIF('20562'!$E:$E,'JE LOG_FY23'!B20,'20562'!$H:$H)+SUMIF('20566'!$E:$E,'JE LOG_FY23'!B20,'20566'!$H:$H)+SUMIF('20573'!$E:$E,'JE LOG_FY23'!B20,'20573'!$H:$H)+SUMIF('20574'!$E:$E,'JE LOG_FY23'!B20,'20574'!$H:$H)+SUMIF('20577'!$E:$E,'JE LOG_FY23'!B20,'20577'!$H:$H)+SUMIF('20644'!$E:$E,'JE LOG_FY23'!B20,'20644'!$H:$H)+SUMIF('20645'!$E:$E,'JE LOG_FY23'!B20,'20645'!$H:$H)+SUMIF('20667'!$E:$E,'JE LOG_FY23'!B20,'20667'!$H:$H)+SUMIF('20668'!$E:$E,'JE LOG_FY23'!B20,'20668'!$H:$H)+SUMIF('20698'!$E:$E,'JE LOG_FY23'!B20,'20698'!$H:$H)+SUMIF('20700'!$E:$E,'JE LOG_FY23'!B20,'20700'!$H:$H)+SUMIF('20701'!$E:$E,'JE LOG_FY23'!B20,'20701'!$H:$H)+SUMIF('20702'!$E:$E,'JE LOG_FY23'!B20,'20702'!$H:$H)+SUMIF('20718'!$E:$E,'JE LOG_FY23'!B20,'20718'!$H:$H)+SUMIF('20723'!$E:$E,'JE LOG_FY23'!B20,'20723'!$H:$H)+SUMIF('20724'!$E:$E,'JE LOG_FY23'!B20,'20724'!$H:$H)+SUMIF('20771'!$E:$E,'JE LOG_FY23'!B20,'20771'!$H:$H)+SUMIF('20735'!$E:$E,'JE LOG_FY23'!B20,'20735'!$H:$H)+SUMIF('20792'!$E:$E,'JE LOG_FY23'!B20,'20792'!$H:$H)</f>
        <v>478940</v>
      </c>
    </row>
    <row r="21" spans="1:8" x14ac:dyDescent="0.4">
      <c r="A21" s="69"/>
      <c r="B21" s="53" t="s">
        <v>144</v>
      </c>
      <c r="C21" s="54">
        <f>SUM(C9:C20)</f>
        <v>8797286.2599999998</v>
      </c>
      <c r="D21" s="69">
        <f>C21/C5</f>
        <v>0.93942946227021862</v>
      </c>
      <c r="H21" s="69"/>
    </row>
    <row r="24" spans="1:8" x14ac:dyDescent="0.4">
      <c r="A24" s="69"/>
      <c r="B24" s="49" t="s">
        <v>136</v>
      </c>
      <c r="C24" s="50">
        <f>C5-C21</f>
        <v>567212.74000000022</v>
      </c>
      <c r="D24" s="69">
        <f>C24/C5</f>
        <v>6.0570537729781403E-2</v>
      </c>
      <c r="H24" s="69"/>
    </row>
  </sheetData>
  <hyperlinks>
    <hyperlink ref="A1" location="'Project Status'!A1" display="'Project Status'!A1" xr:uid="{D54CCFE6-2282-4CB1-A38A-149F87628119}"/>
  </hyperlinks>
  <pageMargins left="0.7" right="0.7" top="0.75" bottom="0.75" header="0.3" footer="0.3"/>
  <pageSetup orientation="portrait" horizontalDpi="4294967295" verticalDpi="4294967295"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07FA-F034-49AD-8421-4944DA9DDFAC}">
  <sheetPr>
    <tabColor theme="0"/>
  </sheetPr>
  <dimension ref="A1:T90"/>
  <sheetViews>
    <sheetView zoomScaleNormal="100" workbookViewId="0">
      <selection activeCell="F1" sqref="F1"/>
    </sheetView>
  </sheetViews>
  <sheetFormatPr defaultRowHeight="14.6" x14ac:dyDescent="0.4"/>
  <cols>
    <col min="1" max="1" width="5.69140625" customWidth="1"/>
    <col min="2" max="2" width="23.3046875" bestFit="1" customWidth="1"/>
    <col min="3" max="3" width="15.3046875" style="42" bestFit="1" customWidth="1"/>
    <col min="4" max="4" width="5.69140625" customWidth="1"/>
    <col min="6" max="6" width="14.3046875" bestFit="1" customWidth="1"/>
    <col min="8" max="8" width="5.69140625" customWidth="1"/>
    <col min="18" max="18" width="10.53515625" bestFit="1" customWidth="1"/>
    <col min="19" max="19" width="10.69140625" bestFit="1" customWidth="1"/>
    <col min="20" max="20" width="10.53515625" bestFit="1" customWidth="1"/>
  </cols>
  <sheetData>
    <row r="1" spans="1:10" x14ac:dyDescent="0.4">
      <c r="A1" s="141" t="s">
        <v>267</v>
      </c>
    </row>
    <row r="2" spans="1:10" x14ac:dyDescent="0.4">
      <c r="B2" s="46" t="s">
        <v>140</v>
      </c>
    </row>
    <row r="3" spans="1:10" x14ac:dyDescent="0.4">
      <c r="B3" t="s">
        <v>142</v>
      </c>
      <c r="E3" s="46"/>
    </row>
    <row r="4" spans="1:10" x14ac:dyDescent="0.4">
      <c r="B4" s="47" t="s">
        <v>307</v>
      </c>
      <c r="C4" s="48">
        <f>Contributions!G15</f>
        <v>11029283.289999999</v>
      </c>
      <c r="E4" s="22"/>
      <c r="F4" s="42"/>
    </row>
    <row r="5" spans="1:10" x14ac:dyDescent="0.4">
      <c r="B5" s="51" t="s">
        <v>145</v>
      </c>
      <c r="C5" s="52">
        <f>SUM(C1:C4)</f>
        <v>11029283.289999999</v>
      </c>
      <c r="J5" s="22"/>
    </row>
    <row r="8" spans="1:10" x14ac:dyDescent="0.4">
      <c r="B8" t="s">
        <v>143</v>
      </c>
      <c r="F8" s="43"/>
    </row>
    <row r="9" spans="1:10" x14ac:dyDescent="0.4">
      <c r="B9" s="22" t="s">
        <v>311</v>
      </c>
      <c r="C9" s="42">
        <f>SUMIF('10085'!$E:$E,'JE LOG_FY24'!B9,'10085'!$H:$H)+SUMIF('10098'!$E:$E,'JE LOG_FY24'!B9,'10098'!$H:$H)+SUMIF('10146'!$E:$E,'JE LOG_FY24'!B9,'10146'!$H:$H)+SUMIF('20179'!$E:$E,'JE LOG_FY24'!B9,'20179'!$H:$H)+SUMIF('20336'!$E:$E,'JE LOG_FY24'!B9,'20336'!$H:$H)+SUMIF('20431'!$E:$E,'JE LOG_FY24'!B9,'20431'!$H:$H)+SUMIF('20478'!$E:$E,'JE LOG_FY24'!B9,'20478'!$H:$H)+SUMIF('20489'!$E:$E,'JE LOG_FY24'!B9,'20489'!$H:$H)+SUMIF('20497'!$E:$E,'JE LOG_FY24'!B9,'20497'!$H:$H)+SUMIF('20506'!$E:$E,'JE LOG_FY24'!B9,'20506'!$H:$H)++SUMIF('20562'!$E:$E,'JE LOG_FY24'!B9,'20562'!$H:$H)+SUMIF('20566'!$E:$E,'JE LOG_FY24'!B9,'20566'!$H:$H)+SUMIF('20573'!$E:$E,'JE LOG_FY24'!B9,'20573'!$H:$H)+SUMIF('20574'!$E:$E,'JE LOG_FY24'!B9,'20574'!$H:$H)+SUMIF('20577'!$E:$E,'JE LOG_FY24'!B9,'20577'!$H:$H)+SUMIF('20644'!$E:$E,'JE LOG_FY24'!B9,'20644'!$H:$H)+SUMIF('20645'!$E:$E,'JE LOG_FY24'!B9,'20645'!$H:$H)+SUMIF('20667'!$E:$E,'JE LOG_FY24'!B9,'20667'!$H:$H)+SUMIF('20668'!$E:$E,'JE LOG_FY24'!B9,'20668'!$H:$H)+SUMIF('20698'!$E:$E,'JE LOG_FY24'!B9,'20698'!$H:$H)+SUMIF('20700'!$E:$E,'JE LOG_FY24'!B9,'20700'!$H:$H)+SUMIF('20701'!$E:$E,'JE LOG_FY24'!B9,'20701'!$H:$H)+SUMIF('20702'!$E:$E,'JE LOG_FY24'!B9,'20702'!$H:$H)+SUMIF('20718'!$E:$E,'JE LOG_FY24'!B9,'20718'!$H:$H)+SUMIF('20723'!$E:$E,'JE LOG_FY24'!B9,'20723'!$H:$H)+SUMIF('20724'!$E:$E,'JE LOG_FY24'!B9,'20724'!$H:$H)+SUMIF('20771'!$E:$E,'JE LOG_FY24'!B9,'20771'!$H:$H)+SUMIF('20735'!$E:$E,'JE LOG_FY24'!B9,'20735'!$H:$H)+SUMIF('20792'!$E:$E,'JE LOG_FY24'!B9,'20792'!$H:$H)</f>
        <v>1028900</v>
      </c>
      <c r="F9" s="134"/>
    </row>
    <row r="10" spans="1:10" x14ac:dyDescent="0.4">
      <c r="B10" s="22" t="s">
        <v>322</v>
      </c>
      <c r="C10" s="42">
        <f>SUMIF('10085'!$E:$E,'JE LOG_FY24'!B10,'10085'!$H:$H)+SUMIF('10098'!$E:$E,'JE LOG_FY24'!B10,'10098'!$H:$H)+SUMIF('10146'!$E:$E,'JE LOG_FY24'!B10,'10146'!$H:$H)+SUMIF('20179'!$E:$E,'JE LOG_FY24'!B10,'20179'!$H:$H)+SUMIF('20336'!$E:$E,'JE LOG_FY24'!B10,'20336'!$H:$H)+SUMIF('20431'!$E:$E,'JE LOG_FY24'!B10,'20431'!$H:$H)+SUMIF('20478'!$E:$E,'JE LOG_FY24'!B10,'20478'!$H:$H)+SUMIF('20489'!$E:$E,'JE LOG_FY24'!B10,'20489'!$H:$H)+SUMIF('20497'!$E:$E,'JE LOG_FY24'!B10,'20497'!$H:$H)+SUMIF('20506'!$E:$E,'JE LOG_FY24'!B10,'20506'!$H:$H)++SUMIF('20562'!$E:$E,'JE LOG_FY24'!B10,'20562'!$H:$H)+SUMIF('20566'!$E:$E,'JE LOG_FY24'!B10,'20566'!$H:$H)+SUMIF('20573'!$E:$E,'JE LOG_FY24'!B10,'20573'!$H:$H)+SUMIF('20574'!$E:$E,'JE LOG_FY24'!B10,'20574'!$H:$H)+SUMIF('20577'!$E:$E,'JE LOG_FY24'!B10,'20577'!$H:$H)+SUMIF('20644'!$E:$E,'JE LOG_FY24'!B10,'20644'!$H:$H)+SUMIF('20645'!$E:$E,'JE LOG_FY24'!B10,'20645'!$H:$H)+SUMIF('20667'!$E:$E,'JE LOG_FY24'!B10,'20667'!$H:$H)+SUMIF('20668'!$E:$E,'JE LOG_FY24'!B10,'20668'!$H:$H)+SUMIF('20698'!$E:$E,'JE LOG_FY24'!B10,'20698'!$H:$H)+SUMIF('20700'!$E:$E,'JE LOG_FY24'!B10,'20700'!$H:$H)+SUMIF('20701'!$E:$E,'JE LOG_FY24'!B10,'20701'!$H:$H)+SUMIF('20702'!$E:$E,'JE LOG_FY24'!B10,'20702'!$H:$H)+SUMIF('20718'!$E:$E,'JE LOG_FY24'!B10,'20718'!$H:$H)+SUMIF('20723'!$E:$E,'JE LOG_FY24'!B10,'20723'!$H:$H)+SUMIF('20724'!$E:$E,'JE LOG_FY24'!B10,'20724'!$H:$H)+SUMIF('20771'!$E:$E,'JE LOG_FY24'!B10,'20771'!$H:$H)+SUMIF('20735'!$E:$E,'JE LOG_FY24'!B10,'20735'!$H:$H)+SUMIF('20792'!$E:$E,'JE LOG_FY24'!B10,'20792'!$H:$H)+SUMIF('20831'!$E:$E,'JE LOG_FY24'!B10,'20831'!$H:$H)+SUMIF('20832'!$E:$E,'JE LOG_FY24'!B10,'20832'!$H:$H)+SUMIF('20833'!$E:$E,'JE LOG_FY24'!B10,'20833'!$H:$H)</f>
        <v>3749814</v>
      </c>
      <c r="F10" s="134"/>
    </row>
    <row r="11" spans="1:10" x14ac:dyDescent="0.4">
      <c r="B11" s="22" t="s">
        <v>333</v>
      </c>
      <c r="C11" s="42">
        <f>SUMIF('10085'!$E:$E,'JE LOG_FY24'!B11,'10085'!$H:$H)+SUMIF('10098'!$E:$E,'JE LOG_FY24'!B11,'10098'!$H:$H)+SUMIF('10146'!$E:$E,'JE LOG_FY24'!B11,'10146'!$H:$H)+SUMIF('20179'!$E:$E,'JE LOG_FY24'!B11,'20179'!$H:$H)+SUMIF('20336'!$E:$E,'JE LOG_FY24'!B11,'20336'!$H:$H)+SUMIF('20431'!$E:$E,'JE LOG_FY24'!B11,'20431'!$H:$H)+SUMIF('20478'!$E:$E,'JE LOG_FY24'!B11,'20478'!$H:$H)+SUMIF('20489'!$E:$E,'JE LOG_FY24'!B11,'20489'!$H:$H)+SUMIF('20497'!$E:$E,'JE LOG_FY24'!B11,'20497'!$H:$H)+SUMIF('20506'!$E:$E,'JE LOG_FY24'!B11,'20506'!$H:$H)++SUMIF('20562'!$E:$E,'JE LOG_FY24'!B11,'20562'!$H:$H)+SUMIF('20566'!$E:$E,'JE LOG_FY24'!B11,'20566'!$H:$H)+SUMIF('20573'!$E:$E,'JE LOG_FY24'!B11,'20573'!$H:$H)+SUMIF('20574'!$E:$E,'JE LOG_FY24'!B11,'20574'!$H:$H)+SUMIF('20577'!$E:$E,'JE LOG_FY24'!B11,'20577'!$H:$H)+SUMIF('20644'!$E:$E,'JE LOG_FY24'!B11,'20644'!$H:$H)+SUMIF('20645'!$E:$E,'JE LOG_FY24'!B11,'20645'!$H:$H)+SUMIF('20667'!$E:$E,'JE LOG_FY24'!B11,'20667'!$H:$H)+SUMIF('20668'!$E:$E,'JE LOG_FY24'!B11,'20668'!$H:$H)+SUMIF('20698'!$E:$E,'JE LOG_FY24'!B11,'20698'!$H:$H)+SUMIF('20700'!$E:$E,'JE LOG_FY24'!B11,'20700'!$H:$H)+SUMIF('20701'!$E:$E,'JE LOG_FY24'!B11,'20701'!$H:$H)+SUMIF('20702'!$E:$E,'JE LOG_FY24'!B11,'20702'!$H:$H)+SUMIF('20718'!$E:$E,'JE LOG_FY24'!B11,'20718'!$H:$H)+SUMIF('20723'!$E:$E,'JE LOG_FY24'!B11,'20723'!$H:$H)+SUMIF('20724'!$E:$E,'JE LOG_FY24'!B11,'20724'!$H:$H)+SUMIF('20771'!$E:$E,'JE LOG_FY24'!B11,'20771'!$H:$H)+SUMIF('20735'!$E:$E,'JE LOG_FY24'!B11,'20735'!$H:$H)+SUMIF('20792'!$E:$E,'JE LOG_FY24'!B11,'20792'!$H:$H)+SUMIF('20831'!$E:$E,'JE LOG_FY24'!B11,'20831'!$H:$H)+SUMIF('20832'!$E:$E,'JE LOG_FY24'!B11,'20832'!$H:$H)+SUMIF('20833'!$E:$E,'JE LOG_FY24'!B11,'20833'!$H:$H)+SUMIF('20857'!$E:$E,'JE LOG_FY24'!B11,'20857'!$H:$H)</f>
        <v>-45721</v>
      </c>
      <c r="F11" s="134"/>
    </row>
    <row r="12" spans="1:10" x14ac:dyDescent="0.4">
      <c r="B12" s="22" t="s">
        <v>349</v>
      </c>
      <c r="C12" s="42">
        <f>SUMIF('10085'!$E:$E,'JE LOG_FY24'!B12,'10085'!$H:$H)+SUMIF('10098'!$E:$E,'JE LOG_FY24'!B12,'10098'!$H:$H)+SUMIF('10146'!$E:$E,'JE LOG_FY24'!B12,'10146'!$H:$H)+SUMIF('20179'!$E:$E,'JE LOG_FY24'!B12,'20179'!$H:$H)+SUMIF('20336'!$E:$E,'JE LOG_FY24'!B12,'20336'!$H:$H)+SUMIF('20431'!$E:$E,'JE LOG_FY24'!B12,'20431'!$H:$H)+SUMIF('20478'!$E:$E,'JE LOG_FY24'!B12,'20478'!$H:$H)+SUMIF('20489'!$E:$E,'JE LOG_FY24'!B12,'20489'!$H:$H)+SUMIF('20497'!$E:$E,'JE LOG_FY24'!B12,'20497'!$H:$H)+SUMIF('20506'!$E:$E,'JE LOG_FY24'!B12,'20506'!$H:$H)++SUMIF('20562'!$E:$E,'JE LOG_FY24'!B12,'20562'!$H:$H)+SUMIF('20566'!$E:$E,'JE LOG_FY24'!B12,'20566'!$H:$H)+SUMIF('20573'!$E:$E,'JE LOG_FY24'!B12,'20573'!$H:$H)+SUMIF('20574'!$E:$E,'JE LOG_FY24'!B12,'20574'!$H:$H)+SUMIF('20577'!$E:$E,'JE LOG_FY24'!B12,'20577'!$H:$H)+SUMIF('20644'!$E:$E,'JE LOG_FY24'!B12,'20644'!$H:$H)+SUMIF('20645'!$E:$E,'JE LOG_FY24'!B12,'20645'!$H:$H)+SUMIF('20667'!$E:$E,'JE LOG_FY24'!B12,'20667'!$H:$H)+SUMIF('20668'!$E:$E,'JE LOG_FY24'!B12,'20668'!$H:$H)+SUMIF('20698'!$E:$E,'JE LOG_FY24'!B12,'20698'!$H:$H)+SUMIF('20700'!$E:$E,'JE LOG_FY24'!B12,'20700'!$H:$H)+SUMIF('20701'!$E:$E,'JE LOG_FY24'!B12,'20701'!$H:$H)+SUMIF('20702'!$E:$E,'JE LOG_FY24'!B12,'20702'!$H:$H)+SUMIF('20718'!$E:$E,'JE LOG_FY24'!B12,'20718'!$H:$H)+SUMIF('20723'!$E:$E,'JE LOG_FY24'!B12,'20723'!$H:$H)+SUMIF('20724'!$E:$E,'JE LOG_FY24'!B12,'20724'!$H:$H)+SUMIF('20771'!$E:$E,'JE LOG_FY24'!B12,'20771'!$H:$H)+SUMIF('20735'!$E:$E,'JE LOG_FY24'!B12,'20735'!$H:$H)+SUMIF('20792'!$E:$E,'JE LOG_FY24'!B12,'20792'!$H:$H)+SUMIF('20831'!$E:$E,'JE LOG_FY24'!B12,'20831'!$H:$H)+SUMIF('20832'!$E:$E,'JE LOG_FY24'!B12,'20832'!$H:$H)+SUMIF('20833'!$E:$E,'JE LOG_FY24'!B12,'20833'!$H:$H)+SUMIF('20857'!$E:$E,'JE LOG_FY24'!B12,'20857'!$H:$H)</f>
        <v>1964100</v>
      </c>
      <c r="F12" s="134"/>
    </row>
    <row r="13" spans="1:10" x14ac:dyDescent="0.4">
      <c r="B13" s="22" t="s">
        <v>351</v>
      </c>
      <c r="C13" s="42">
        <f>SUMIF('10085'!$E:$E,'JE LOG_FY24'!B13,'10085'!$H:$H)+SUMIF('10098'!$E:$E,'JE LOG_FY24'!B13,'10098'!$H:$H)+SUMIF('10146'!$E:$E,'JE LOG_FY24'!B13,'10146'!$H:$H)+SUMIF('20179'!$E:$E,'JE LOG_FY24'!B13,'20179'!$H:$H)+SUMIF('20336'!$E:$E,'JE LOG_FY24'!B13,'20336'!$H:$H)+SUMIF('20431'!$E:$E,'JE LOG_FY24'!B13,'20431'!$H:$H)+SUMIF('20478'!$E:$E,'JE LOG_FY24'!B13,'20478'!$H:$H)+SUMIF('20489'!$E:$E,'JE LOG_FY24'!B13,'20489'!$H:$H)+SUMIF('20497'!$E:$E,'JE LOG_FY24'!B13,'20497'!$H:$H)+SUMIF('20506'!$E:$E,'JE LOG_FY24'!B13,'20506'!$H:$H)++SUMIF('20562'!$E:$E,'JE LOG_FY24'!B13,'20562'!$H:$H)+SUMIF('20566'!$E:$E,'JE LOG_FY24'!B13,'20566'!$H:$H)+SUMIF('20573'!$E:$E,'JE LOG_FY24'!B13,'20573'!$H:$H)+SUMIF('20574'!$E:$E,'JE LOG_FY24'!B13,'20574'!$H:$H)+SUMIF('20577'!$E:$E,'JE LOG_FY24'!B13,'20577'!$H:$H)+SUMIF('20644'!$E:$E,'JE LOG_FY24'!B13,'20644'!$H:$H)+SUMIF('20645'!$E:$E,'JE LOG_FY24'!B13,'20645'!$H:$H)+SUMIF('20667'!$E:$E,'JE LOG_FY24'!B13,'20667'!$H:$H)+SUMIF('20668'!$E:$E,'JE LOG_FY24'!B13,'20668'!$H:$H)+SUMIF('20698'!$E:$E,'JE LOG_FY24'!B13,'20698'!$H:$H)+SUMIF('20700'!$E:$E,'JE LOG_FY24'!B13,'20700'!$H:$H)+SUMIF('20701'!$E:$E,'JE LOG_FY24'!B13,'20701'!$H:$H)+SUMIF('20702'!$E:$E,'JE LOG_FY24'!B13,'20702'!$H:$H)+SUMIF('20718'!$E:$E,'JE LOG_FY24'!B13,'20718'!$H:$H)+SUMIF('20723'!$E:$E,'JE LOG_FY24'!B13,'20723'!$H:$H)+SUMIF('20724'!$E:$E,'JE LOG_FY24'!B13,'20724'!$H:$H)+SUMIF('20771'!$E:$E,'JE LOG_FY24'!B13,'20771'!$H:$H)+SUMIF('20735'!$E:$E,'JE LOG_FY24'!B13,'20735'!$H:$H)+SUMIF('20792'!$E:$E,'JE LOG_FY24'!B13,'20792'!$H:$H)+SUMIF('20831'!$E:$E,'JE LOG_FY24'!B13,'20831'!$H:$H)+SUMIF('20832'!$E:$E,'JE LOG_FY24'!B13,'20832'!$H:$H)+SUMIF('20833'!$E:$E,'JE LOG_FY24'!B13,'20833'!$H:$H)+SUMIF('20857'!$E:$E,'JE LOG_FY24'!B13,'20857'!$H:$H)</f>
        <v>893319.04</v>
      </c>
      <c r="F13" s="134"/>
    </row>
    <row r="14" spans="1:10" x14ac:dyDescent="0.4">
      <c r="B14" s="22" t="s">
        <v>367</v>
      </c>
      <c r="C14" s="42">
        <f>SUMIF('10085'!$E:$E,'JE LOG_FY24'!B14,'10085'!$H:$H)+SUMIF('10098'!$E:$E,'JE LOG_FY24'!B14,'10098'!$H:$H)+SUMIF('10146'!$E:$E,'JE LOG_FY24'!B14,'10146'!$H:$H)+SUMIF('20179'!$E:$E,'JE LOG_FY24'!B14,'20179'!$H:$H)+SUMIF('20336'!$E:$E,'JE LOG_FY24'!B14,'20336'!$H:$H)+SUMIF('20431'!$E:$E,'JE LOG_FY24'!B14,'20431'!$H:$H)+SUMIF('20478'!$E:$E,'JE LOG_FY24'!B14,'20478'!$H:$H)+SUMIF('20489'!$E:$E,'JE LOG_FY24'!B14,'20489'!$H:$H)+SUMIF('20497'!$E:$E,'JE LOG_FY24'!B14,'20497'!$H:$H)+SUMIF('20506'!$E:$E,'JE LOG_FY24'!B14,'20506'!$H:$H)++SUMIF('20562'!$E:$E,'JE LOG_FY24'!B14,'20562'!$H:$H)+SUMIF('20566'!$E:$E,'JE LOG_FY24'!B14,'20566'!$H:$H)+SUMIF('20573'!$E:$E,'JE LOG_FY24'!B14,'20573'!$H:$H)+SUMIF('20574'!$E:$E,'JE LOG_FY24'!B14,'20574'!$H:$H)+SUMIF('20577'!$E:$E,'JE LOG_FY24'!B14,'20577'!$H:$H)+SUMIF('20644'!$E:$E,'JE LOG_FY24'!B14,'20644'!$H:$H)+SUMIF('20645'!$E:$E,'JE LOG_FY24'!B14,'20645'!$H:$H)+SUMIF('20667'!$E:$E,'JE LOG_FY24'!B14,'20667'!$H:$H)+SUMIF('20668'!$E:$E,'JE LOG_FY24'!B14,'20668'!$H:$H)+SUMIF('20698'!$E:$E,'JE LOG_FY24'!B14,'20698'!$H:$H)+SUMIF('20700'!$E:$E,'JE LOG_FY24'!B14,'20700'!$H:$H)+SUMIF('20701'!$E:$E,'JE LOG_FY24'!B14,'20701'!$H:$H)+SUMIF('20702'!$E:$E,'JE LOG_FY24'!B14,'20702'!$H:$H)+SUMIF('20718'!$E:$E,'JE LOG_FY24'!B14,'20718'!$H:$H)+SUMIF('20723'!$E:$E,'JE LOG_FY24'!B14,'20723'!$H:$H)+SUMIF('20724'!$E:$E,'JE LOG_FY24'!B14,'20724'!$H:$H)+SUMIF('20771'!$E:$E,'JE LOG_FY24'!B14,'20771'!$H:$H)+SUMIF('20735'!$E:$E,'JE LOG_FY24'!B14,'20735'!$H:$H)+SUMIF('20792'!$E:$E,'JE LOG_FY24'!B14,'20792'!$H:$H)+SUMIF('20831'!$E:$E,'JE LOG_FY24'!B14,'20831'!$H:$H)+SUMIF('20832'!$E:$E,'JE LOG_FY24'!B14,'20832'!$H:$H)+SUMIF('20833'!$E:$E,'JE LOG_FY24'!B14,'20833'!$H:$H)+SUMIF('20857'!$E:$E,'JE LOG_FY24'!B14,'20857'!$H:$H)+SUMIF('20885'!$E:$E,'JE LOG_FY24'!B14,'20885'!$H:$H)+SUMIF('20911'!$E:$E,'JE LOG_FY24'!B14,'20911'!$H:$H)+SUMIF('20912'!$E:$E,'JE LOG_FY24'!B14,'20912'!$H:$H)+SUMIF('20913'!$E:$E,'JE LOG_FY24'!B14,'20913'!$H:$H)</f>
        <v>-11229.320000000007</v>
      </c>
      <c r="F14" s="134"/>
    </row>
    <row r="15" spans="1:10" x14ac:dyDescent="0.4">
      <c r="B15" s="22" t="s">
        <v>384</v>
      </c>
      <c r="C15" s="42">
        <f>SUMIF('10085'!$E:$E,'JE LOG_FY24'!B15,'10085'!$H:$H)+SUMIF('10098'!$E:$E,'JE LOG_FY24'!B15,'10098'!$H:$H)+SUMIF('10146'!$E:$E,'JE LOG_FY24'!B15,'10146'!$H:$H)+SUMIF('20179'!$E:$E,'JE LOG_FY24'!B15,'20179'!$H:$H)+SUMIF('20336'!$E:$E,'JE LOG_FY24'!B15,'20336'!$H:$H)+SUMIF('20431'!$E:$E,'JE LOG_FY24'!B15,'20431'!$H:$H)+SUMIF('20478'!$E:$E,'JE LOG_FY24'!B15,'20478'!$H:$H)+SUMIF('20489'!$E:$E,'JE LOG_FY24'!B15,'20489'!$H:$H)+SUMIF('20497'!$E:$E,'JE LOG_FY24'!B15,'20497'!$H:$H)+SUMIF('20506'!$E:$E,'JE LOG_FY24'!B15,'20506'!$H:$H)++SUMIF('20562'!$E:$E,'JE LOG_FY24'!B15,'20562'!$H:$H)+SUMIF('20566'!$E:$E,'JE LOG_FY24'!B15,'20566'!$H:$H)+SUMIF('20573'!$E:$E,'JE LOG_FY24'!B15,'20573'!$H:$H)+SUMIF('20574'!$E:$E,'JE LOG_FY24'!B15,'20574'!$H:$H)+SUMIF('20577'!$E:$E,'JE LOG_FY24'!B15,'20577'!$H:$H)+SUMIF('20644'!$E:$E,'JE LOG_FY24'!B15,'20644'!$H:$H)+SUMIF('20645'!$E:$E,'JE LOG_FY24'!B15,'20645'!$H:$H)+SUMIF('20667'!$E:$E,'JE LOG_FY24'!B15,'20667'!$H:$H)+SUMIF('20668'!$E:$E,'JE LOG_FY24'!B15,'20668'!$H:$H)+SUMIF('20698'!$E:$E,'JE LOG_FY24'!B15,'20698'!$H:$H)+SUMIF('20700'!$E:$E,'JE LOG_FY24'!B15,'20700'!$H:$H)+SUMIF('20701'!$E:$E,'JE LOG_FY24'!B15,'20701'!$H:$H)+SUMIF('20702'!$E:$E,'JE LOG_FY24'!B15,'20702'!$H:$H)+SUMIF('20718'!$E:$E,'JE LOG_FY24'!B15,'20718'!$H:$H)+SUMIF('20723'!$E:$E,'JE LOG_FY24'!B15,'20723'!$H:$H)+SUMIF('20724'!$E:$E,'JE LOG_FY24'!B15,'20724'!$H:$H)+SUMIF('20771'!$E:$E,'JE LOG_FY24'!B15,'20771'!$H:$H)+SUMIF('20735'!$E:$E,'JE LOG_FY24'!B15,'20735'!$H:$H)+SUMIF('20767'!$E:$E,'JE LOG_FY24'!B15,'20767'!$H:$H)+SUMIF('20792'!$E:$E,'JE LOG_FY24'!B15,'20792'!$H:$H)+SUMIF('20831'!$E:$E,'JE LOG_FY24'!B15,'20831'!$H:$H)+SUMIF('20832'!$E:$E,'JE LOG_FY24'!B15,'20832'!$H:$H)+SUMIF('20833'!$E:$E,'JE LOG_FY24'!B15,'20833'!$H:$H)+SUMIF('20857'!$E:$E,'JE LOG_FY24'!B15,'20857'!$H:$H)+SUMIF('20885'!$E:$E,'JE LOG_FY24'!B15,'20885'!$H:$H)+SUMIF('20911'!$E:$E,'JE LOG_FY24'!B15,'20911'!$H:$H)+SUMIF('20912'!$E:$E,'JE LOG_FY24'!B15,'20912'!$H:$H)+SUMIF('20913'!$E:$E,'JE LOG_FY24'!B15,'20913'!$H:$H)+SUMIF('20945'!$E:$E,'JE LOG_FY24'!B15,'20945'!$H:$H)</f>
        <v>638993.64</v>
      </c>
      <c r="F15" s="134"/>
    </row>
    <row r="16" spans="1:10" x14ac:dyDescent="0.4">
      <c r="B16" s="22" t="s">
        <v>392</v>
      </c>
      <c r="C16" s="42">
        <f>SUMIF('10085'!$E:$E,'JE LOG_FY24'!B16,'10085'!$H:$H)+SUMIF('10098'!$E:$E,'JE LOG_FY24'!B16,'10098'!$H:$H)+SUMIF('10146'!$E:$E,'JE LOG_FY24'!B16,'10146'!$H:$H)+SUMIF('20179'!$E:$E,'JE LOG_FY24'!B16,'20179'!$H:$H)+SUMIF('20336'!$E:$E,'JE LOG_FY24'!B16,'20336'!$H:$H)+SUMIF('20431'!$E:$E,'JE LOG_FY24'!B16,'20431'!$H:$H)+SUMIF('20478'!$E:$E,'JE LOG_FY24'!B16,'20478'!$H:$H)+SUMIF('20489'!$E:$E,'JE LOG_FY24'!B16,'20489'!$H:$H)+SUMIF('20497'!$E:$E,'JE LOG_FY24'!B16,'20497'!$H:$H)+SUMIF('20506'!$E:$E,'JE LOG_FY24'!B16,'20506'!$H:$H)++SUMIF('20562'!$E:$E,'JE LOG_FY24'!B16,'20562'!$H:$H)+SUMIF('20566'!$E:$E,'JE LOG_FY24'!B16,'20566'!$H:$H)+SUMIF('20573'!$E:$E,'JE LOG_FY24'!B16,'20573'!$H:$H)+SUMIF('20574'!$E:$E,'JE LOG_FY24'!B16,'20574'!$H:$H)+SUMIF('20577'!$E:$E,'JE LOG_FY24'!B16,'20577'!$H:$H)+SUMIF('20644'!$E:$E,'JE LOG_FY24'!B16,'20644'!$H:$H)+SUMIF('20645'!$E:$E,'JE LOG_FY24'!B16,'20645'!$H:$H)+SUMIF('20667'!$E:$E,'JE LOG_FY24'!B16,'20667'!$H:$H)+SUMIF('20668'!$E:$E,'JE LOG_FY24'!B16,'20668'!$H:$H)+SUMIF('20698'!$E:$E,'JE LOG_FY24'!B16,'20698'!$H:$H)+SUMIF('20700'!$E:$E,'JE LOG_FY24'!B16,'20700'!$H:$H)+SUMIF('20701'!$E:$E,'JE LOG_FY24'!B16,'20701'!$H:$H)+SUMIF('20702'!$E:$E,'JE LOG_FY24'!B16,'20702'!$H:$H)+SUMIF('20718'!$E:$E,'JE LOG_FY24'!B16,'20718'!$H:$H)+SUMIF('20723'!$E:$E,'JE LOG_FY24'!B16,'20723'!$H:$H)+SUMIF('20724'!$E:$E,'JE LOG_FY24'!B16,'20724'!$H:$H)+SUMIF('20771'!$E:$E,'JE LOG_FY24'!B16,'20771'!$H:$H)+SUMIF('20735'!$E:$E,'JE LOG_FY24'!B16,'20735'!$H:$H)+SUMIF('20767'!$E:$E,'JE LOG_FY24'!B16,'20767'!$H:$H)+SUMIF('20792'!$E:$E,'JE LOG_FY24'!B16,'20792'!$H:$H)+SUMIF('20811'!$E:$E,'JE LOG_FY24'!B16,'20811'!$H:$H)+SUMIF('20831'!$E:$E,'JE LOG_FY24'!B16,'20831'!$H:$H)+SUMIF('20832'!$E:$E,'JE LOG_FY24'!B16,'20832'!$H:$H)+SUMIF('20833'!$E:$E,'JE LOG_FY24'!B16,'20833'!$H:$H)+SUMIF('20857'!$E:$E,'JE LOG_FY24'!B16,'20857'!$H:$H)+SUMIF('20884'!$E:$E,'JE LOG_FY24'!B16,'20884'!$H:$H)+SUMIF('20885'!$E:$E,'JE LOG_FY24'!B16,'20885'!$H:$H)+SUMIF('20911'!$E:$E,'JE LOG_FY24'!B16,'20911'!$H:$H)+SUMIF('20912'!$E:$E,'JE LOG_FY24'!B16,'20912'!$H:$H)+SUMIF('20913'!$E:$E,'JE LOG_FY24'!B16,'20913'!$H:$H)+SUMIF('20924'!$E:$E,'JE LOG_FY24'!B16,'20924'!$H:$H)+SUMIF('20936'!$E:$E,'JE LOG_FY24'!B16,'20936'!$H:$H)+SUMIF('20945'!$E:$E,'JE LOG_FY24'!B16,'20945'!$H:$H)</f>
        <v>1384584.18</v>
      </c>
      <c r="F16" s="134"/>
    </row>
    <row r="17" spans="1:20" x14ac:dyDescent="0.4">
      <c r="B17" s="22" t="s">
        <v>403</v>
      </c>
      <c r="C17" s="42">
        <f>SUMIF('10085'!$E:$E,'JE LOG_FY24'!B17,'10085'!$H:$H)+SUMIF('10098'!$E:$E,'JE LOG_FY24'!B17,'10098'!$H:$H)+SUMIF('10146'!$E:$E,'JE LOG_FY24'!B17,'10146'!$H:$H)+SUMIF('20179'!$E:$E,'JE LOG_FY24'!B17,'20179'!$H:$H)+SUMIF('20336'!$E:$E,'JE LOG_FY24'!B17,'20336'!$H:$H)+SUMIF('20431'!$E:$E,'JE LOG_FY24'!B17,'20431'!$H:$H)+SUMIF('20478'!$E:$E,'JE LOG_FY24'!B17,'20478'!$H:$H)+SUMIF('20489'!$E:$E,'JE LOG_FY24'!B17,'20489'!$H:$H)+SUMIF('20497'!$E:$E,'JE LOG_FY24'!B17,'20497'!$H:$H)+SUMIF('20506'!$E:$E,'JE LOG_FY24'!B17,'20506'!$H:$H)++SUMIF('20562'!$E:$E,'JE LOG_FY24'!B17,'20562'!$H:$H)+SUMIF('20566'!$E:$E,'JE LOG_FY24'!B17,'20566'!$H:$H)+SUMIF('20573'!$E:$E,'JE LOG_FY24'!B17,'20573'!$H:$H)+SUMIF('20574'!$E:$E,'JE LOG_FY24'!B17,'20574'!$H:$H)+SUMIF('20577'!$E:$E,'JE LOG_FY24'!B17,'20577'!$H:$H)+SUMIF('20644'!$E:$E,'JE LOG_FY24'!B17,'20644'!$H:$H)+SUMIF('20645'!$E:$E,'JE LOG_FY24'!B17,'20645'!$H:$H)+SUMIF('20667'!$E:$E,'JE LOG_FY24'!B17,'20667'!$H:$H)+SUMIF('20668'!$E:$E,'JE LOG_FY24'!B17,'20668'!$H:$H)+SUMIF('20698'!$E:$E,'JE LOG_FY24'!B17,'20698'!$H:$H)+SUMIF('20700'!$E:$E,'JE LOG_FY24'!B17,'20700'!$H:$H)+SUMIF('20701'!$E:$E,'JE LOG_FY24'!B17,'20701'!$H:$H)+SUMIF('20702'!$E:$E,'JE LOG_FY24'!B17,'20702'!$H:$H)+SUMIF('20718'!$E:$E,'JE LOG_FY24'!B17,'20718'!$H:$H)+SUMIF('20723'!$E:$E,'JE LOG_FY24'!B17,'20723'!$H:$H)+SUMIF('20724'!$E:$E,'JE LOG_FY24'!B17,'20724'!$H:$H)+SUMIF('20771'!$E:$E,'JE LOG_FY24'!B17,'20771'!$H:$H)+SUMIF('20772'!$E:$E,'JE LOG_FY24'!B17,'20772'!$H:$H)+SUMIF('20735'!$E:$E,'JE LOG_FY24'!B17,'20735'!$H:$H)+SUMIF('20767'!$E:$E,'JE LOG_FY24'!B17,'20767'!$H:$H)+SUMIF('20792'!$E:$E,'JE LOG_FY24'!B17,'20792'!$H:$H)+SUMIF('20811'!$E:$E,'JE LOG_FY24'!B17,'20811'!$H:$H)+SUMIF('20831'!$E:$E,'JE LOG_FY24'!B17,'20831'!$H:$H)+SUMIF('20832'!$E:$E,'JE LOG_FY24'!B17,'20832'!$H:$H)+SUMIF('20833'!$E:$E,'JE LOG_FY24'!B17,'20833'!$H:$H)+SUMIF('20857'!$E:$E,'JE LOG_FY24'!B17,'20857'!$H:$H)+SUMIF('20884'!$E:$E,'JE LOG_FY24'!B17,'20884'!$H:$H)+SUMIF('20885'!$E:$E,'JE LOG_FY24'!B17,'20885'!$H:$H)+SUMIF('20911'!$E:$E,'JE LOG_FY24'!B17,'20911'!$H:$H)+SUMIF('20912'!$E:$E,'JE LOG_FY24'!B17,'20912'!$H:$H)+SUMIF('20913'!$E:$E,'JE LOG_FY24'!B17,'20913'!$H:$H)+SUMIF('20922'!$E:$E,'JE LOG_FY24'!B17,'20922'!$H:$H)+SUMIF('20924'!$E:$E,'JE LOG_FY24'!B17,'20924'!$H:$H)+SUMIF('20936'!$E:$E,'JE LOG_FY24'!B17,'20936'!$H:$H)+SUMIF('20945'!$E:$E,'JE LOG_FY24'!B17,'20945'!$H:$H)+SUMIF('20958'!$E:$E,'JE LOG_FY24'!B17,'20958'!$H:$H)</f>
        <v>230037.4</v>
      </c>
      <c r="F17" s="42"/>
    </row>
    <row r="18" spans="1:20" x14ac:dyDescent="0.4">
      <c r="B18" s="22" t="s">
        <v>405</v>
      </c>
      <c r="C18" s="42">
        <f>SUMIF('10085'!$E:$E,'JE LOG_FY24'!B18,'10085'!$H:$H)+SUMIF('10098'!$E:$E,'JE LOG_FY24'!B18,'10098'!$H:$H)+SUMIF('10146'!$E:$E,'JE LOG_FY24'!B18,'10146'!$H:$H)+SUMIF('20179'!$E:$E,'JE LOG_FY24'!B18,'20179'!$H:$H)+SUMIF('20336'!$E:$E,'JE LOG_FY24'!B18,'20336'!$H:$H)+SUMIF('20431'!$E:$E,'JE LOG_FY24'!B18,'20431'!$H:$H)+SUMIF('20478'!$E:$E,'JE LOG_FY24'!B18,'20478'!$H:$H)+SUMIF('20489'!$E:$E,'JE LOG_FY24'!B18,'20489'!$H:$H)+SUMIF('20497'!$E:$E,'JE LOG_FY24'!B18,'20497'!$H:$H)+SUMIF('20506'!$E:$E,'JE LOG_FY24'!B18,'20506'!$H:$H)++SUMIF('20562'!$E:$E,'JE LOG_FY24'!B18,'20562'!$H:$H)+SUMIF('20566'!$E:$E,'JE LOG_FY24'!B18,'20566'!$H:$H)+SUMIF('20573'!$E:$E,'JE LOG_FY24'!B18,'20573'!$H:$H)+SUMIF('20574'!$E:$E,'JE LOG_FY24'!B18,'20574'!$H:$H)+SUMIF('20577'!$E:$E,'JE LOG_FY24'!B18,'20577'!$H:$H)+SUMIF('20644'!$E:$E,'JE LOG_FY24'!B18,'20644'!$H:$H)+SUMIF('20645'!$E:$E,'JE LOG_FY24'!B18,'20645'!$H:$H)+SUMIF('20667'!$E:$E,'JE LOG_FY24'!B18,'20667'!$H:$H)+SUMIF('20668'!$E:$E,'JE LOG_FY24'!B18,'20668'!$H:$H)+SUMIF('20698'!$E:$E,'JE LOG_FY24'!B18,'20698'!$H:$H)+SUMIF('20700'!$E:$E,'JE LOG_FY24'!B18,'20700'!$H:$H)+SUMIF('20701'!$E:$E,'JE LOG_FY24'!B18,'20701'!$H:$H)+SUMIF('20702'!$E:$E,'JE LOG_FY24'!B18,'20702'!$H:$H)+SUMIF('20718'!$E:$E,'JE LOG_FY24'!B18,'20718'!$H:$H)+SUMIF('20723'!$E:$E,'JE LOG_FY24'!B18,'20723'!$H:$H)+SUMIF('20724'!$E:$E,'JE LOG_FY24'!B18,'20724'!$H:$H)+SUMIF('20771'!$E:$E,'JE LOG_FY24'!B18,'20771'!$H:$H)+SUMIF('20772'!$E:$E,'JE LOG_FY24'!B18,'20772'!$H:$H)+SUMIF('20735'!$E:$E,'JE LOG_FY24'!B18,'20735'!$H:$H)+SUMIF('20767'!$E:$E,'JE LOG_FY24'!B18,'20767'!$H:$H)+SUMIF('20792'!$E:$E,'JE LOG_FY24'!B18,'20792'!$H:$H)+SUMIF('20811'!$E:$E,'JE LOG_FY24'!B18,'20811'!$H:$H)+SUMIF('20831'!$E:$E,'JE LOG_FY24'!B18,'20831'!$H:$H)+SUMIF('20832'!$E:$E,'JE LOG_FY24'!B18,'20832'!$H:$H)+SUMIF('20833'!$E:$E,'JE LOG_FY24'!B18,'20833'!$H:$H)+SUMIF('20857'!$E:$E,'JE LOG_FY24'!B18,'20857'!$H:$H)+SUMIF('20884'!$E:$E,'JE LOG_FY24'!B18,'20884'!$H:$H)+SUMIF('20885'!$E:$E,'JE LOG_FY24'!B18,'20885'!$H:$H)+SUMIF('20911'!$E:$E,'JE LOG_FY24'!B18,'20911'!$H:$H)+SUMIF('20912'!$E:$E,'JE LOG_FY24'!B18,'20912'!$H:$H)+SUMIF('20913'!$E:$E,'JE LOG_FY24'!B18,'20913'!$H:$H)+SUMIF('20922'!$E:$E,'JE LOG_FY24'!B18,'20922'!$H:$H)+SUMIF('20924'!$E:$E,'JE LOG_FY24'!B18,'20924'!$H:$H)+SUMIF('20936'!$E:$E,'JE LOG_FY24'!B18,'20936'!$H:$H)+SUMIF('20945'!$E:$E,'JE LOG_FY24'!B18,'20945'!$H:$H)+SUMIF('20958'!$E:$E,'JE LOG_FY24'!B18,'20958'!$H:$H)+SUMIF('20982'!$E:$E,'JE LOG_FY24'!B18,'20982'!$H:$H)</f>
        <v>1594675</v>
      </c>
      <c r="F18" s="42"/>
    </row>
    <row r="19" spans="1:20" x14ac:dyDescent="0.4">
      <c r="B19" s="22"/>
    </row>
    <row r="20" spans="1:20" x14ac:dyDescent="0.4">
      <c r="B20" s="47"/>
      <c r="C20" s="48"/>
    </row>
    <row r="21" spans="1:20" x14ac:dyDescent="0.4">
      <c r="A21" s="69"/>
      <c r="B21" s="53" t="s">
        <v>144</v>
      </c>
      <c r="C21" s="54">
        <f>SUM(C9:C20)</f>
        <v>11427472.939999999</v>
      </c>
      <c r="D21" s="69"/>
      <c r="H21" s="69"/>
    </row>
    <row r="23" spans="1:20" x14ac:dyDescent="0.4">
      <c r="B23" s="22" t="s">
        <v>313</v>
      </c>
      <c r="C23" s="42">
        <f>'JE LOG_FY23'!C24</f>
        <v>567212.74000000022</v>
      </c>
    </row>
    <row r="24" spans="1:20" x14ac:dyDescent="0.4">
      <c r="B24" s="22" t="s">
        <v>314</v>
      </c>
      <c r="C24" s="42">
        <f>F4</f>
        <v>0</v>
      </c>
    </row>
    <row r="26" spans="1:20" x14ac:dyDescent="0.4">
      <c r="A26" s="69"/>
      <c r="B26" s="49" t="s">
        <v>136</v>
      </c>
      <c r="C26" s="50">
        <f>C5-C21+C23-C24</f>
        <v>169023.08999999985</v>
      </c>
      <c r="D26" s="69"/>
      <c r="H26" s="69"/>
      <c r="R26" s="205" t="s">
        <v>339</v>
      </c>
      <c r="S26" s="205" t="s">
        <v>340</v>
      </c>
    </row>
    <row r="27" spans="1:20" x14ac:dyDescent="0.4">
      <c r="R27" s="21">
        <v>7025</v>
      </c>
      <c r="S27" s="21">
        <v>24933</v>
      </c>
    </row>
    <row r="28" spans="1:20" x14ac:dyDescent="0.4">
      <c r="R28" s="21">
        <v>36379</v>
      </c>
      <c r="S28" s="21">
        <v>17600</v>
      </c>
    </row>
    <row r="29" spans="1:20" x14ac:dyDescent="0.4">
      <c r="R29" s="21">
        <v>44850</v>
      </c>
      <c r="S29" s="21"/>
    </row>
    <row r="30" spans="1:20" x14ac:dyDescent="0.4">
      <c r="R30" s="210">
        <f>SUM(R27:R29)</f>
        <v>88254</v>
      </c>
      <c r="S30" s="210">
        <f>SUM(S27:S29)</f>
        <v>42533</v>
      </c>
      <c r="T30" s="211">
        <f>SUM(R30:S30)</f>
        <v>130787</v>
      </c>
    </row>
    <row r="31" spans="1:20" x14ac:dyDescent="0.4">
      <c r="S31" s="212">
        <f>S30-R30</f>
        <v>-45721</v>
      </c>
    </row>
    <row r="33" spans="18:20" x14ac:dyDescent="0.4">
      <c r="R33" s="21"/>
      <c r="S33" s="21"/>
    </row>
    <row r="34" spans="18:20" x14ac:dyDescent="0.4">
      <c r="R34" s="205" t="s">
        <v>339</v>
      </c>
      <c r="S34" s="205" t="s">
        <v>340</v>
      </c>
    </row>
    <row r="35" spans="18:20" x14ac:dyDescent="0.4">
      <c r="R35" s="21">
        <v>1964100</v>
      </c>
      <c r="S35" s="21">
        <v>1964100</v>
      </c>
    </row>
    <row r="36" spans="18:20" x14ac:dyDescent="0.4">
      <c r="R36" s="21">
        <v>1964100</v>
      </c>
      <c r="S36" s="21">
        <v>1964100</v>
      </c>
    </row>
    <row r="37" spans="18:20" x14ac:dyDescent="0.4">
      <c r="R37" s="210">
        <f>SUM(R35:R36)</f>
        <v>3928200</v>
      </c>
      <c r="S37" s="210">
        <f>SUM(S35:S36)</f>
        <v>3928200</v>
      </c>
      <c r="T37" s="211"/>
    </row>
    <row r="38" spans="18:20" x14ac:dyDescent="0.4">
      <c r="S38" s="212">
        <f>S37-R37</f>
        <v>0</v>
      </c>
    </row>
    <row r="41" spans="18:20" x14ac:dyDescent="0.4">
      <c r="R41" s="21"/>
      <c r="S41" s="21"/>
    </row>
    <row r="42" spans="18:20" x14ac:dyDescent="0.4">
      <c r="R42" s="205" t="s">
        <v>339</v>
      </c>
      <c r="S42" s="205" t="s">
        <v>340</v>
      </c>
    </row>
    <row r="43" spans="18:20" x14ac:dyDescent="0.4">
      <c r="R43" s="21"/>
      <c r="S43" s="21">
        <v>649263</v>
      </c>
    </row>
    <row r="44" spans="18:20" x14ac:dyDescent="0.4">
      <c r="R44" s="21"/>
      <c r="S44" s="21">
        <v>244457</v>
      </c>
    </row>
    <row r="45" spans="18:20" x14ac:dyDescent="0.4">
      <c r="R45" s="21"/>
      <c r="S45" s="21">
        <v>4000</v>
      </c>
    </row>
    <row r="46" spans="18:20" x14ac:dyDescent="0.4">
      <c r="R46" s="21">
        <v>4400.96</v>
      </c>
      <c r="S46" s="21"/>
    </row>
    <row r="47" spans="18:20" x14ac:dyDescent="0.4">
      <c r="R47" s="210">
        <f>SUM(R43:R46)</f>
        <v>4400.96</v>
      </c>
      <c r="S47" s="210">
        <f>SUM(S43:S46)</f>
        <v>897720</v>
      </c>
      <c r="T47" s="211">
        <f>SUM(R47:S47)</f>
        <v>902120.95999999996</v>
      </c>
    </row>
    <row r="48" spans="18:20" x14ac:dyDescent="0.4">
      <c r="S48" s="212">
        <f>S47-R47</f>
        <v>893319.04</v>
      </c>
    </row>
    <row r="49" spans="18:20" x14ac:dyDescent="0.4">
      <c r="R49" s="21"/>
      <c r="S49" s="21"/>
    </row>
    <row r="51" spans="18:20" x14ac:dyDescent="0.4">
      <c r="R51" s="205" t="s">
        <v>339</v>
      </c>
      <c r="S51" s="205" t="s">
        <v>340</v>
      </c>
    </row>
    <row r="52" spans="18:20" x14ac:dyDescent="0.4">
      <c r="R52" s="21"/>
      <c r="S52" s="21">
        <f>4100*3</f>
        <v>12300</v>
      </c>
    </row>
    <row r="53" spans="18:20" x14ac:dyDescent="0.4">
      <c r="R53" s="21"/>
      <c r="S53" s="21">
        <v>98341</v>
      </c>
    </row>
    <row r="54" spans="18:20" x14ac:dyDescent="0.4">
      <c r="R54" s="21">
        <v>59283.32</v>
      </c>
      <c r="S54" s="21"/>
    </row>
    <row r="55" spans="18:20" x14ac:dyDescent="0.4">
      <c r="R55" s="21">
        <v>29922</v>
      </c>
      <c r="S55" s="21"/>
    </row>
    <row r="56" spans="18:20" x14ac:dyDescent="0.4">
      <c r="R56" s="21">
        <v>32665</v>
      </c>
    </row>
    <row r="57" spans="18:20" x14ac:dyDescent="0.4">
      <c r="R57" s="210">
        <f>SUM(R52:R56)</f>
        <v>121870.32</v>
      </c>
      <c r="S57" s="210">
        <f>SUM(S52:S56)</f>
        <v>110641</v>
      </c>
      <c r="T57" s="211">
        <f>SUM(R57:S57)</f>
        <v>232511.32</v>
      </c>
    </row>
    <row r="58" spans="18:20" x14ac:dyDescent="0.4">
      <c r="S58" s="212">
        <f>S57-R57</f>
        <v>-11229.320000000007</v>
      </c>
    </row>
    <row r="60" spans="18:20" x14ac:dyDescent="0.4">
      <c r="R60" s="205" t="s">
        <v>339</v>
      </c>
      <c r="S60" s="205" t="s">
        <v>340</v>
      </c>
    </row>
    <row r="61" spans="18:20" x14ac:dyDescent="0.4">
      <c r="R61" s="21"/>
      <c r="S61" s="21">
        <v>148299</v>
      </c>
    </row>
    <row r="62" spans="18:20" x14ac:dyDescent="0.4">
      <c r="R62" s="21">
        <v>47290</v>
      </c>
      <c r="S62" s="21">
        <v>477584</v>
      </c>
    </row>
    <row r="63" spans="18:20" x14ac:dyDescent="0.4">
      <c r="R63" s="21">
        <v>43231.360000000001</v>
      </c>
      <c r="S63" s="21">
        <v>56945</v>
      </c>
    </row>
    <row r="64" spans="18:20" x14ac:dyDescent="0.4">
      <c r="R64" s="21">
        <v>119221</v>
      </c>
      <c r="S64" s="21">
        <v>55698</v>
      </c>
    </row>
    <row r="65" spans="18:20" x14ac:dyDescent="0.4">
      <c r="R65" s="21">
        <v>22537</v>
      </c>
      <c r="S65" s="21">
        <v>92512</v>
      </c>
    </row>
    <row r="66" spans="18:20" x14ac:dyDescent="0.4">
      <c r="R66" s="21">
        <v>58765</v>
      </c>
      <c r="S66" s="21">
        <v>99000</v>
      </c>
    </row>
    <row r="67" spans="18:20" x14ac:dyDescent="0.4">
      <c r="R67" s="210">
        <f>SUM(R61:R66)</f>
        <v>291044.36</v>
      </c>
      <c r="S67" s="210">
        <f>SUM(S61:S66)</f>
        <v>930038</v>
      </c>
      <c r="T67" s="211">
        <f>SUM(R67:S67)</f>
        <v>1221082.3599999999</v>
      </c>
    </row>
    <row r="68" spans="18:20" x14ac:dyDescent="0.4">
      <c r="S68" s="212">
        <f>S67-R67</f>
        <v>638993.64</v>
      </c>
    </row>
    <row r="70" spans="18:20" x14ac:dyDescent="0.4">
      <c r="R70" s="205" t="s">
        <v>339</v>
      </c>
      <c r="S70" s="205" t="s">
        <v>340</v>
      </c>
    </row>
    <row r="71" spans="18:20" x14ac:dyDescent="0.4">
      <c r="R71" s="21"/>
      <c r="S71" s="21">
        <v>285233.27</v>
      </c>
    </row>
    <row r="72" spans="18:20" x14ac:dyDescent="0.4">
      <c r="R72" s="21"/>
      <c r="S72" s="21">
        <v>675650</v>
      </c>
    </row>
    <row r="73" spans="18:20" x14ac:dyDescent="0.4">
      <c r="R73" s="21"/>
      <c r="S73" s="21">
        <v>30570</v>
      </c>
    </row>
    <row r="74" spans="18:20" x14ac:dyDescent="0.4">
      <c r="R74" s="21"/>
      <c r="S74" s="21">
        <v>404655.91</v>
      </c>
    </row>
    <row r="75" spans="18:20" x14ac:dyDescent="0.4">
      <c r="R75" s="21">
        <v>11525</v>
      </c>
      <c r="S75" s="21"/>
    </row>
    <row r="76" spans="18:20" x14ac:dyDescent="0.4">
      <c r="R76" s="210">
        <f>SUM(R71:R75)</f>
        <v>11525</v>
      </c>
      <c r="S76" s="210">
        <f>SUM(S71:S75)</f>
        <v>1396109.18</v>
      </c>
      <c r="T76" s="211">
        <f>SUM(R76:S76)</f>
        <v>1407634.18</v>
      </c>
    </row>
    <row r="77" spans="18:20" x14ac:dyDescent="0.4">
      <c r="S77" s="212">
        <f>S76-R76</f>
        <v>1384584.18</v>
      </c>
    </row>
    <row r="79" spans="18:20" x14ac:dyDescent="0.4">
      <c r="R79" s="21">
        <v>460074.8</v>
      </c>
      <c r="S79" s="212">
        <f>R79/2</f>
        <v>230037.4</v>
      </c>
    </row>
    <row r="85" spans="18:20" x14ac:dyDescent="0.4">
      <c r="R85" s="205" t="s">
        <v>339</v>
      </c>
      <c r="S85" s="205" t="s">
        <v>340</v>
      </c>
    </row>
    <row r="86" spans="18:20" x14ac:dyDescent="0.4">
      <c r="R86" s="21"/>
      <c r="S86" s="21">
        <v>18175</v>
      </c>
    </row>
    <row r="87" spans="18:20" x14ac:dyDescent="0.4">
      <c r="R87" s="21"/>
      <c r="S87" s="21">
        <v>1600000</v>
      </c>
    </row>
    <row r="88" spans="18:20" x14ac:dyDescent="0.4">
      <c r="R88" s="21">
        <v>23500</v>
      </c>
      <c r="S88" s="21"/>
    </row>
    <row r="89" spans="18:20" x14ac:dyDescent="0.4">
      <c r="R89" s="210">
        <f>SUM(R86:R88)</f>
        <v>23500</v>
      </c>
      <c r="S89" s="210">
        <f>SUM(S86:S88)</f>
        <v>1618175</v>
      </c>
      <c r="T89" s="211">
        <f>SUM(R89:S89)</f>
        <v>1641675</v>
      </c>
    </row>
    <row r="90" spans="18:20" x14ac:dyDescent="0.4">
      <c r="S90" s="212">
        <f>S89-R89</f>
        <v>1594675</v>
      </c>
    </row>
  </sheetData>
  <hyperlinks>
    <hyperlink ref="A1" location="'Project Status'!A1" display="'Project Status'!A1" xr:uid="{730CBDDC-4FC5-4C71-90B3-44A3E957215E}"/>
  </hyperlinks>
  <pageMargins left="0.7" right="0.7" top="0.75" bottom="0.75" header="0.3" footer="0.3"/>
  <pageSetup orientation="portrait" horizontalDpi="4294967295" verticalDpi="4294967295"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6E9F-5403-44F3-B135-5D4C7BB54238}">
  <sheetPr>
    <tabColor theme="0"/>
  </sheetPr>
  <dimension ref="A1:U70"/>
  <sheetViews>
    <sheetView zoomScaleNormal="100" workbookViewId="0"/>
  </sheetViews>
  <sheetFormatPr defaultRowHeight="14.6" x14ac:dyDescent="0.4"/>
  <cols>
    <col min="1" max="1" width="5.69140625" customWidth="1"/>
    <col min="2" max="2" width="23.3046875" bestFit="1" customWidth="1"/>
    <col min="3" max="3" width="15.3046875" style="42" bestFit="1" customWidth="1"/>
    <col min="4" max="4" width="5.69140625" customWidth="1"/>
    <col min="6" max="6" width="14.3046875" bestFit="1" customWidth="1"/>
    <col min="8" max="8" width="5.69140625" customWidth="1"/>
  </cols>
  <sheetData>
    <row r="1" spans="1:10" x14ac:dyDescent="0.4">
      <c r="A1" s="141" t="s">
        <v>267</v>
      </c>
    </row>
    <row r="2" spans="1:10" x14ac:dyDescent="0.4">
      <c r="B2" s="46" t="s">
        <v>140</v>
      </c>
    </row>
    <row r="3" spans="1:10" x14ac:dyDescent="0.4">
      <c r="B3" t="s">
        <v>142</v>
      </c>
      <c r="E3" s="46" t="s">
        <v>312</v>
      </c>
    </row>
    <row r="4" spans="1:10" x14ac:dyDescent="0.4">
      <c r="B4" s="47" t="s">
        <v>307</v>
      </c>
      <c r="C4" s="48">
        <f>Contributions!K15</f>
        <v>12857284.462265246</v>
      </c>
      <c r="E4" s="22" t="s">
        <v>138</v>
      </c>
      <c r="F4" s="255">
        <f>SUMIF('10146'!$E:$E,E4,'10146'!$H:$H)+SUMIF('20179'!$E:$E,E4,'20179'!$H:$H)+SUMIF('20431'!$E:$E,E4,'20431'!$H:$H)+SUMIF('20478'!$E:$E,E4,'20478'!$H:$H)+SUMIF('20489'!$E:$E,E4,'20489'!$H:$H)+SUMIF('20577'!$E:$E,E4,'20577'!$H:$H)+SUMIF('20667'!$E:$E,E4,'20667'!$H:$H)+SUMIF('20668'!$E:$E,E4,'20668'!$H:$H)+SUMIF('20698'!$E:$E,E4,'20698'!$H:$H)+SUMIF('20701'!$E:$E,E4,'20701'!$H:$H)+SUMIF('20723'!$E:$E,E4,'20723'!$H:$H)+SUMIF('20724'!$E:$E,E4,'20724'!$H:$H)+SUMIF('20767'!$E:$E,E4,'20767'!$H:$H)+SUMIF('20772'!$E:$E,E4,'20772'!$H:$H)+SUMIF('20811'!$E:$E,E4,'20811'!$H:$H)+SUMIF('20812'!$E:$E,E4,'20812'!$H:$H)+SUMIF('20857'!$E:$E,E4,'20857'!$H:$H)+SUMIF('20884'!$E:$E,E4,'20884'!$H:$H)+SUMIF('20885'!$E:$E,E4,'20885'!$H:$H)+SUMIF('20911'!$E:$E,E4,'20911'!$H:$H)+SUMIF('20912'!$E:$E,E4,'20912'!$H:$H)+SUMIF('20913'!$E:$E,E4,'20913'!$H:$H)+SUMIF('20922'!$E:$E,E4,'20922'!$H:$H)+SUMIF('20924'!$E:$E,E4,'20924'!$H:$H)+SUMIF('20936'!$E:$E,E4,'20936'!$H:$H)+SUMIF('20945'!$E:$E,E4,'20945'!$H:$H)+SUMIF('20958'!$E:$E,E4,'20958'!$H:$H)+SUMIF('20982'!$E:$E,E4,'20982'!$H:$H)+SUMIF('20984'!$E:$E,E4,'20984'!$H:$H)+SUMIF('21004'!$E:$E,E4,'21004'!$H:$H)+SUMIF('20940'!$E:$E,E4,'20940'!$H:$H)+SUMIF('20962'!$E:$E,E4,'20962'!$H:$H)</f>
        <v>0</v>
      </c>
    </row>
    <row r="5" spans="1:10" x14ac:dyDescent="0.4">
      <c r="B5" s="51" t="s">
        <v>145</v>
      </c>
      <c r="C5" s="52">
        <f>SUM(C1:C4)</f>
        <v>12857284.462265246</v>
      </c>
      <c r="J5" s="22"/>
    </row>
    <row r="8" spans="1:10" x14ac:dyDescent="0.4">
      <c r="B8" t="s">
        <v>143</v>
      </c>
      <c r="F8" s="43"/>
    </row>
    <row r="9" spans="1:10" x14ac:dyDescent="0.4">
      <c r="B9" s="22" t="s">
        <v>422</v>
      </c>
      <c r="C9" s="255">
        <f>SUMIF('10146'!$E:$E,B9,'10146'!$H:$H)+SUMIF('20179'!$E:$E,B9,'20179'!$H:$H)+SUMIF('20431'!$E:$E,B9,'20431'!$H:$H)+SUMIF('20478'!$E:$E,B9,'20478'!$H:$H)+SUMIF('20489'!$E:$E,B9,'20489'!$H:$H)+SUMIF('20577'!$E:$E,B9,'20577'!$H:$H)+SUMIF('20667'!$E:$E,B9,'20667'!$H:$H)+SUMIF('20668'!$E:$E,B9,'20668'!$H:$H)+SUMIF('20698'!$E:$E,B9,'20698'!$H:$H)+SUMIF('20701'!$E:$E,B9,'20701'!$H:$H)+SUMIF('20723'!$E:$E,B9,'20723'!$H:$H)+SUMIF('20724'!$E:$E,B9,'20724'!$H:$H)+SUMIF('20767'!$E:$E,B9,'20767'!$H:$H)+SUMIF('20772'!$E:$E,B9,'20772'!$H:$H)+SUMIF('20811'!$E:$E,B9,'20811'!$H:$H)+SUMIF('20857'!$E:$E,B9,'20857'!$H:$H)+SUMIF('20884'!$E:$E,B9,'20884'!$H:$H)+SUMIF('20885'!$E:$E,B9,'20885'!$H:$H)+SUMIF('20911'!$E:$E,B9,'20911'!$H:$H)+SUMIF('20912'!$E:$E,B9,'20912'!$H:$H)+SUMIF('20936'!$E:$E,B9,'20936'!$H:$H)+SUMIF('20945'!$E:$E,B9,'20945'!$H:$H)+SUMIF('20958'!$E:$E,B9,'20958'!$H:$H)+SUMIF('20982'!$E:$E,B9,'20982'!$H:$H)</f>
        <v>1600000</v>
      </c>
      <c r="F9" s="134"/>
    </row>
    <row r="10" spans="1:10" x14ac:dyDescent="0.4">
      <c r="B10" s="22" t="s">
        <v>437</v>
      </c>
      <c r="C10" s="255">
        <f>SUMIF('10146'!$E:$E,B10,'10146'!$H:$H)+SUMIF('20179'!$E:$E,B10,'20179'!$H:$H)+SUMIF('20431'!$E:$E,B10,'20431'!$H:$H)+SUMIF('20478'!$E:$E,B10,'20478'!$H:$H)+SUMIF('20489'!$E:$E,B10,'20489'!$H:$H)+SUMIF('20577'!$E:$E,B10,'20577'!$H:$H)+SUMIF('20667'!$E:$E,B10,'20667'!$H:$H)+SUMIF('20668'!$E:$E,B10,'20668'!$H:$H)+SUMIF('20698'!$E:$E,B10,'20698'!$H:$H)+SUMIF('20701'!$E:$E,B10,'20701'!$H:$H)+SUMIF('20723'!$E:$E,B10,'20723'!$H:$H)+SUMIF('20724'!$E:$E,B10,'20724'!$H:$H)+SUMIF('20767'!$E:$E,B10,'20767'!$H:$H)+SUMIF('20772'!$E:$E,B10,'20772'!$H:$H)+SUMIF('20811'!$E:$E,B10,'20811'!$H:$H)+SUMIF('20812'!$E:$E,B10,'20812'!$H:$H)+SUMIF('20857'!$E:$E,B10,'20857'!$H:$H)+SUMIF('20884'!$E:$E,B10,'20884'!$H:$H)+SUMIF('20885'!$E:$E,B10,'20885'!$H:$H)+SUMIF('20911'!$E:$E,B10,'20911'!$H:$H)+SUMIF('20912'!$E:$E,B10,'20912'!$H:$H)+SUMIF('20913'!$E:$E,B10,'20913'!$H:$H)+SUMIF('20922'!$E:$E,B10,'20922'!$H:$H)+SUMIF('20924'!$E:$E,B10,'20924'!$H:$H)+SUMIF('20936'!$E:$E,B10,'20936'!$H:$H)+SUMIF('20945'!$E:$E,B10,'20945'!$H:$H)+SUMIF('20958'!$E:$E,B10,'20958'!$H:$H)+SUMIF('20982'!$E:$E,B10,'20982'!$H:$H)+SUMIF('20984'!$E:$E,B10,'20984'!$H:$H)</f>
        <v>188988.14</v>
      </c>
      <c r="F10" s="134"/>
    </row>
    <row r="11" spans="1:10" x14ac:dyDescent="0.4">
      <c r="B11" s="22" t="s">
        <v>442</v>
      </c>
      <c r="C11" s="255">
        <f>SUMIF('10146'!$E:$E,B11,'10146'!$H:$H)+SUMIF('20179'!$E:$E,B11,'20179'!$H:$H)+SUMIF('20431'!$E:$E,B11,'20431'!$H:$H)+SUMIF('20478'!$E:$E,B11,'20478'!$H:$H)+SUMIF('20489'!$E:$E,B11,'20489'!$H:$H)+SUMIF('20577'!$E:$E,B11,'20577'!$H:$H)+SUMIF('20667'!$E:$E,B11,'20667'!$H:$H)+SUMIF('20668'!$E:$E,B11,'20668'!$H:$H)+SUMIF('20698'!$E:$E,B11,'20698'!$H:$H)+SUMIF('20701'!$E:$E,B11,'20701'!$H:$H)+SUMIF('20723'!$E:$E,B11,'20723'!$H:$H)+SUMIF('20724'!$E:$E,B11,'20724'!$H:$H)+SUMIF('20767'!$E:$E,B11,'20767'!$H:$H)+SUMIF('20772'!$E:$E,B11,'20772'!$H:$H)+SUMIF('20811'!$E:$E,B11,'20811'!$H:$H)+SUMIF('20812'!$E:$E,B11,'20812'!$H:$H)+SUMIF('20857'!$E:$E,B11,'20857'!$H:$H)+SUMIF('20884'!$E:$E,B11,'20884'!$H:$H)+SUMIF('20885'!$E:$E,B11,'20885'!$H:$H)+SUMIF('20911'!$E:$E,B11,'20911'!$H:$H)+SUMIF('20912'!$E:$E,B11,'20912'!$H:$H)+SUMIF('20913'!$E:$E,B11,'20913'!$H:$H)+SUMIF('20922'!$E:$E,B11,'20922'!$H:$H)+SUMIF('20924'!$E:$E,B11,'20924'!$H:$H)+SUMIF('20936'!$E:$E,B11,'20936'!$H:$H)+SUMIF('20945'!$E:$E,B11,'20945'!$H:$H)+SUMIF('20958'!$E:$E,B11,'20958'!$H:$H)+SUMIF('20982'!$E:$E,B11,'20982'!$H:$H)+SUMIF('20984'!$E:$E,B11,'20984'!$H:$H)+SUMIF('21004'!$E:$E,B11,'21004'!$H:$H)</f>
        <v>197000</v>
      </c>
      <c r="F11" s="134"/>
    </row>
    <row r="12" spans="1:10" x14ac:dyDescent="0.4">
      <c r="B12" s="22" t="s">
        <v>445</v>
      </c>
      <c r="C12" s="255">
        <f>SUMIF('10146'!$E:$E,B12,'10146'!$H:$H)+SUMIF('20179'!$E:$E,B12,'20179'!$H:$H)+SUMIF('20431'!$E:$E,B12,'20431'!$H:$H)+SUMIF('20478'!$E:$E,B12,'20478'!$H:$H)+SUMIF('20489'!$E:$E,B12,'20489'!$H:$H)+SUMIF('20577'!$E:$E,B12,'20577'!$H:$H)+SUMIF('20667'!$E:$E,B12,'20667'!$H:$H)+SUMIF('20668'!$E:$E,B12,'20668'!$H:$H)+SUMIF('20698'!$E:$E,B12,'20698'!$H:$H)+SUMIF('20701'!$E:$E,B12,'20701'!$H:$H)+SUMIF('20723'!$E:$E,B12,'20723'!$H:$H)+SUMIF('20724'!$E:$E,B12,'20724'!$H:$H)+SUMIF('20767'!$E:$E,B12,'20767'!$H:$H)+SUMIF('20772'!$E:$E,B12,'20772'!$H:$H)+SUMIF('20811'!$E:$E,B12,'20811'!$H:$H)+SUMIF('20812'!$E:$E,B12,'20812'!$H:$H)+SUMIF('20857'!$E:$E,B12,'20857'!$H:$H)+SUMIF('20884'!$E:$E,B12,'20884'!$H:$H)+SUMIF('20885'!$E:$E,B12,'20885'!$H:$H)+SUMIF('20911'!$E:$E,B12,'20911'!$H:$H)+SUMIF('20912'!$E:$E,B12,'20912'!$H:$H)+SUMIF('20913'!$E:$E,B12,'20913'!$H:$H)+SUMIF('20922'!$E:$E,B12,'20922'!$H:$H)+SUMIF('20924'!$E:$E,B12,'20924'!$H:$H)+SUMIF('20936'!$E:$E,B12,'20936'!$H:$H)+SUMIF('20945'!$E:$E,B12,'20945'!$H:$H)+SUMIF('20958'!$E:$E,B12,'20958'!$H:$H)+SUMIF('20982'!$E:$E,B12,'20982'!$H:$H)+SUMIF('20984'!$E:$E,B12,'20984'!$H:$H)+SUMIF('21004'!$E:$E,B12,'21004'!$H:$H)+SUMIF('20940'!$E:$E,B12,'20940'!$H:$H)</f>
        <v>3219114</v>
      </c>
      <c r="F12" s="134"/>
    </row>
    <row r="13" spans="1:10" x14ac:dyDescent="0.4">
      <c r="B13" s="22" t="s">
        <v>460</v>
      </c>
      <c r="C13" s="255">
        <f>SUMIF('10146'!$E:$E,B13,'10146'!$H:$H)+SUMIF('20179'!$E:$E,B13,'20179'!$H:$H)+SUMIF('20431'!$E:$E,B13,'20431'!$H:$H)+SUMIF('20478'!$E:$E,B13,'20478'!$H:$H)+SUMIF('20489'!$E:$E,B13,'20489'!$H:$H)+SUMIF('20577'!$E:$E,B13,'20577'!$H:$H)+SUMIF('20667'!$E:$E,B13,'20667'!$H:$H)+SUMIF('20668'!$E:$E,B13,'20668'!$H:$H)+SUMIF('20698'!$E:$E,B13,'20698'!$H:$H)+SUMIF('20701'!$E:$E,B13,'20701'!$H:$H)+SUMIF('20723'!$E:$E,B13,'20723'!$H:$H)+SUMIF('20724'!$E:$E,B13,'20724'!$H:$H)+SUMIF('20767'!$E:$E,B13,'20767'!$H:$H)+SUMIF('20772'!$E:$E,B13,'20772'!$H:$H)+SUMIF('20811'!$E:$E,B13,'20811'!$H:$H)+SUMIF('20812'!$E:$E,B13,'20812'!$H:$H)+SUMIF('20857'!$E:$E,B13,'20857'!$H:$H)+SUMIF('20884'!$E:$E,B13,'20884'!$H:$H)+SUMIF('20885'!$E:$E,B13,'20885'!$H:$H)+SUMIF('20911'!$E:$E,B13,'20911'!$H:$H)+SUMIF('20912'!$E:$E,B13,'20912'!$H:$H)+SUMIF('20913'!$E:$E,B13,'20913'!$H:$H)+SUMIF('20922'!$E:$E,B13,'20922'!$H:$H)+SUMIF('20924'!$E:$E,B13,'20924'!$H:$H)+SUMIF('20936'!$E:$E,B13,'20936'!$H:$H)+SUMIF('20945'!$E:$E,B13,'20945'!$H:$H)+SUMIF('20958'!$E:$E,B13,'20958'!$H:$H)+SUMIF('20982'!$E:$E,B13,'20982'!$H:$H)+SUMIF('20984'!$E:$E,B13,'20984'!$H:$H)+SUMIF('21004'!$E:$E,B13,'21004'!$H:$H)+SUMIF('20940'!$E:$E,B13,'20940'!$H:$H)</f>
        <v>1398860</v>
      </c>
      <c r="F13" s="134"/>
    </row>
    <row r="14" spans="1:10" x14ac:dyDescent="0.4">
      <c r="B14" s="22" t="s">
        <v>462</v>
      </c>
      <c r="C14" s="255">
        <f>SUMIF('10146'!$E:$E,B14,'10146'!$H:$H)+SUMIF('20179'!$E:$E,B14,'20179'!$H:$H)+SUMIF('20431'!$E:$E,B14,'20431'!$H:$H)+SUMIF('20478'!$E:$E,B14,'20478'!$H:$H)+SUMIF('20489'!$E:$E,B14,'20489'!$H:$H)+SUMIF('20577'!$E:$E,B14,'20577'!$H:$H)+SUMIF('20667'!$E:$E,B14,'20667'!$H:$H)+SUMIF('20668'!$E:$E,B14,'20668'!$H:$H)+SUMIF('20698'!$E:$E,B14,'20698'!$H:$H)+SUMIF('20701'!$E:$E,B14,'20701'!$H:$H)+SUMIF('20723'!$E:$E,B14,'20723'!$H:$H)+SUMIF('20724'!$E:$E,B14,'20724'!$H:$H)+SUMIF('20767'!$E:$E,B14,'20767'!$H:$H)+SUMIF('20772'!$E:$E,B14,'20772'!$H:$H)+SUMIF('20811'!$E:$E,B14,'20811'!$H:$H)+SUMIF('20812'!$E:$E,B14,'20812'!$H:$H)+SUMIF('20857'!$E:$E,B14,'20857'!$H:$H)+SUMIF('20884'!$E:$E,B14,'20884'!$H:$H)+SUMIF('20885'!$E:$E,B14,'20885'!$H:$H)+SUMIF('20911'!$E:$E,B14,'20911'!$H:$H)+SUMIF('20912'!$E:$E,B14,'20912'!$H:$H)+SUMIF('20913'!$E:$E,B14,'20913'!$H:$H)+SUMIF('20922'!$E:$E,B14,'20922'!$H:$H)+SUMIF('20924'!$E:$E,B14,'20924'!$H:$H)+SUMIF('20936'!$E:$E,B14,'20936'!$H:$H)+SUMIF('20945'!$E:$E,B14,'20945'!$H:$H)+SUMIF('20958'!$E:$E,B14,'20958'!$H:$H)+SUMIF('20982'!$E:$E,B14,'20982'!$H:$H)+SUMIF('20984'!$E:$E,B14,'20984'!$H:$H)+SUMIF('21004'!$E:$E,B14,'21004'!$H:$H)+SUMIF('20940'!$E:$E,B14,'20940'!$H:$H)+SUMIF('20962'!$E:$E,B14,'20962'!$H:$H)</f>
        <v>16559.64</v>
      </c>
      <c r="F14" s="134"/>
    </row>
    <row r="15" spans="1:10" x14ac:dyDescent="0.4">
      <c r="B15" s="22"/>
      <c r="C15" s="255"/>
      <c r="F15" s="134"/>
    </row>
    <row r="16" spans="1:10" x14ac:dyDescent="0.4">
      <c r="B16" s="22"/>
      <c r="C16" s="255"/>
      <c r="F16" s="134"/>
    </row>
    <row r="17" spans="1:21" x14ac:dyDescent="0.4">
      <c r="B17" s="22"/>
      <c r="C17" s="255"/>
      <c r="F17" s="42"/>
    </row>
    <row r="18" spans="1:21" x14ac:dyDescent="0.4">
      <c r="B18" s="22"/>
      <c r="F18" s="42"/>
    </row>
    <row r="19" spans="1:21" x14ac:dyDescent="0.4">
      <c r="B19" s="22"/>
    </row>
    <row r="20" spans="1:21" x14ac:dyDescent="0.4">
      <c r="B20" s="47"/>
      <c r="C20" s="48"/>
    </row>
    <row r="21" spans="1:21" x14ac:dyDescent="0.4">
      <c r="A21" s="69"/>
      <c r="B21" s="53" t="s">
        <v>144</v>
      </c>
      <c r="C21" s="54">
        <f>SUM(C9:C20)</f>
        <v>6620521.7800000003</v>
      </c>
      <c r="D21" s="69"/>
      <c r="H21" s="69"/>
    </row>
    <row r="23" spans="1:21" x14ac:dyDescent="0.4">
      <c r="B23" s="22" t="s">
        <v>313</v>
      </c>
      <c r="C23" s="42">
        <f>'JE LOG_FY24'!C26</f>
        <v>169023.08999999985</v>
      </c>
    </row>
    <row r="24" spans="1:21" x14ac:dyDescent="0.4">
      <c r="B24" s="22" t="s">
        <v>314</v>
      </c>
      <c r="C24" s="42">
        <f>F4</f>
        <v>0</v>
      </c>
      <c r="S24" s="205" t="s">
        <v>339</v>
      </c>
      <c r="T24" s="205" t="s">
        <v>340</v>
      </c>
    </row>
    <row r="25" spans="1:21" x14ac:dyDescent="0.4">
      <c r="S25" s="21"/>
      <c r="T25" s="21">
        <v>38500</v>
      </c>
    </row>
    <row r="26" spans="1:21" x14ac:dyDescent="0.4">
      <c r="A26" s="69"/>
      <c r="B26" s="49" t="s">
        <v>136</v>
      </c>
      <c r="C26" s="50">
        <f>C5-C21+C23-C24</f>
        <v>6405785.7722652452</v>
      </c>
      <c r="D26" s="69"/>
      <c r="H26" s="69"/>
      <c r="S26" s="21"/>
      <c r="T26" s="21">
        <v>243454</v>
      </c>
    </row>
    <row r="27" spans="1:21" x14ac:dyDescent="0.4">
      <c r="S27" s="21">
        <v>92965.86</v>
      </c>
      <c r="T27" s="21"/>
    </row>
    <row r="28" spans="1:21" x14ac:dyDescent="0.4">
      <c r="S28" s="210">
        <f>SUM(S25:S27)</f>
        <v>92965.86</v>
      </c>
      <c r="T28" s="210">
        <f>SUM(T25:T27)</f>
        <v>281954</v>
      </c>
      <c r="U28" s="211">
        <f>SUM(S28:T28)</f>
        <v>374919.86</v>
      </c>
    </row>
    <row r="29" spans="1:21" x14ac:dyDescent="0.4">
      <c r="T29" s="212">
        <f>T28-S28</f>
        <v>188988.14</v>
      </c>
    </row>
    <row r="65" spans="19:21" x14ac:dyDescent="0.4">
      <c r="S65" s="205" t="s">
        <v>339</v>
      </c>
      <c r="T65" s="205" t="s">
        <v>340</v>
      </c>
    </row>
    <row r="66" spans="19:21" x14ac:dyDescent="0.4">
      <c r="S66" s="21"/>
      <c r="T66" s="21">
        <v>1800</v>
      </c>
    </row>
    <row r="67" spans="19:21" x14ac:dyDescent="0.4">
      <c r="S67" s="21"/>
      <c r="T67" s="21">
        <v>14759.64</v>
      </c>
    </row>
    <row r="68" spans="19:21" x14ac:dyDescent="0.4">
      <c r="S68" s="21">
        <v>33119.279999999999</v>
      </c>
      <c r="T68" s="21"/>
    </row>
    <row r="69" spans="19:21" x14ac:dyDescent="0.4">
      <c r="S69" s="210">
        <f>SUM(S66:S68)</f>
        <v>33119.279999999999</v>
      </c>
      <c r="T69" s="210">
        <f>SUM(T66:T68)</f>
        <v>16559.64</v>
      </c>
      <c r="U69" s="211">
        <f>SUM(S69:T69)</f>
        <v>49678.92</v>
      </c>
    </row>
    <row r="70" spans="19:21" x14ac:dyDescent="0.4">
      <c r="T70" s="212">
        <f>T69-S69</f>
        <v>-16559.64</v>
      </c>
    </row>
  </sheetData>
  <hyperlinks>
    <hyperlink ref="A1" location="'Project Status'!A1" display="'Project Status'!A1" xr:uid="{341D7909-AE99-4CFC-82E7-757D7B860AC8}"/>
  </hyperlinks>
  <pageMargins left="0.7" right="0.7" top="0.75" bottom="0.75" header="0.3" footer="0.3"/>
  <pageSetup orientation="portrait" horizontalDpi="4294967295" verticalDpi="4294967295"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3"/>
  <sheetViews>
    <sheetView workbookViewId="0"/>
  </sheetViews>
  <sheetFormatPr defaultRowHeight="14.6" x14ac:dyDescent="0.4"/>
  <cols>
    <col min="2" max="2" width="38.07421875" bestFit="1" customWidth="1"/>
    <col min="3" max="3" width="17.07421875" bestFit="1" customWidth="1"/>
  </cols>
  <sheetData>
    <row r="1" spans="2:3" x14ac:dyDescent="0.4">
      <c r="B1" t="s">
        <v>125</v>
      </c>
      <c r="C1" t="s">
        <v>193</v>
      </c>
    </row>
    <row r="2" spans="2:3" x14ac:dyDescent="0.4">
      <c r="B2" t="s">
        <v>10</v>
      </c>
      <c r="C2" t="s">
        <v>194</v>
      </c>
    </row>
    <row r="3" spans="2:3" x14ac:dyDescent="0.4">
      <c r="B3" t="s">
        <v>443</v>
      </c>
      <c r="C3" t="s">
        <v>194</v>
      </c>
    </row>
    <row r="4" spans="2:3" x14ac:dyDescent="0.4">
      <c r="B4" t="s">
        <v>12</v>
      </c>
      <c r="C4" t="s">
        <v>196</v>
      </c>
    </row>
    <row r="5" spans="2:3" x14ac:dyDescent="0.4">
      <c r="B5" t="s">
        <v>14</v>
      </c>
      <c r="C5" t="s">
        <v>197</v>
      </c>
    </row>
    <row r="6" spans="2:3" x14ac:dyDescent="0.4">
      <c r="B6" t="s">
        <v>15</v>
      </c>
      <c r="C6" t="s">
        <v>198</v>
      </c>
    </row>
    <row r="7" spans="2:3" x14ac:dyDescent="0.4">
      <c r="B7" t="s">
        <v>19</v>
      </c>
      <c r="C7" t="s">
        <v>199</v>
      </c>
    </row>
    <row r="8" spans="2:3" x14ac:dyDescent="0.4">
      <c r="B8" t="s">
        <v>154</v>
      </c>
      <c r="C8" t="s">
        <v>199</v>
      </c>
    </row>
    <row r="9" spans="2:3" x14ac:dyDescent="0.4">
      <c r="B9" t="s">
        <v>21</v>
      </c>
      <c r="C9" t="s">
        <v>201</v>
      </c>
    </row>
    <row r="10" spans="2:3" x14ac:dyDescent="0.4">
      <c r="B10" t="s">
        <v>25</v>
      </c>
      <c r="C10" t="s">
        <v>200</v>
      </c>
    </row>
    <row r="11" spans="2:3" x14ac:dyDescent="0.4">
      <c r="B11" t="s">
        <v>177</v>
      </c>
      <c r="C11" t="s">
        <v>200</v>
      </c>
    </row>
    <row r="12" spans="2:3" x14ac:dyDescent="0.4">
      <c r="B12" t="s">
        <v>26</v>
      </c>
      <c r="C12" t="s">
        <v>195</v>
      </c>
    </row>
    <row r="13" spans="2:3" x14ac:dyDescent="0.4">
      <c r="B13" t="s">
        <v>28</v>
      </c>
      <c r="C13" t="s">
        <v>202</v>
      </c>
    </row>
  </sheetData>
  <sortState xmlns:xlrd2="http://schemas.microsoft.com/office/spreadsheetml/2017/richdata2" ref="B2:C15">
    <sortCondition ref="B2:B15"/>
  </sortState>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6" x14ac:dyDescent="0.4"/>
  <cols>
    <col min="1" max="1" width="70.3046875" bestFit="1" customWidth="1"/>
    <col min="2" max="2" width="18.3046875" bestFit="1" customWidth="1"/>
    <col min="3" max="3" width="32.69140625" bestFit="1" customWidth="1"/>
    <col min="4" max="4" width="10.53515625" bestFit="1" customWidth="1"/>
    <col min="5" max="5" width="14.3046875" bestFit="1" customWidth="1"/>
  </cols>
  <sheetData>
    <row r="2" spans="1:5" x14ac:dyDescent="0.4">
      <c r="A2" s="1" t="s">
        <v>0</v>
      </c>
      <c r="B2" s="1" t="s">
        <v>1</v>
      </c>
      <c r="C2" s="1" t="s">
        <v>2</v>
      </c>
      <c r="D2" s="2" t="s">
        <v>3</v>
      </c>
      <c r="E2" s="1" t="s">
        <v>79</v>
      </c>
    </row>
    <row r="3" spans="1:5" x14ac:dyDescent="0.4">
      <c r="A3" s="3" t="s">
        <v>4</v>
      </c>
      <c r="B3" s="3" t="s">
        <v>5</v>
      </c>
      <c r="C3" s="3" t="s">
        <v>6</v>
      </c>
      <c r="D3" s="4">
        <v>5849.5212318270642</v>
      </c>
      <c r="E3" s="3" t="s">
        <v>80</v>
      </c>
    </row>
    <row r="4" spans="1:5" x14ac:dyDescent="0.4">
      <c r="A4" s="3" t="s">
        <v>7</v>
      </c>
      <c r="B4" s="3" t="s">
        <v>8</v>
      </c>
      <c r="C4" s="3" t="s">
        <v>9</v>
      </c>
      <c r="D4" s="4">
        <v>26280.621188951438</v>
      </c>
      <c r="E4" s="3" t="s">
        <v>80</v>
      </c>
    </row>
    <row r="5" spans="1:5" x14ac:dyDescent="0.4">
      <c r="A5" s="3" t="s">
        <v>10</v>
      </c>
      <c r="B5" s="3" t="s">
        <v>11</v>
      </c>
      <c r="C5" s="3" t="s">
        <v>9</v>
      </c>
      <c r="D5" s="4">
        <v>1075461.7320675128</v>
      </c>
      <c r="E5" s="3" t="s">
        <v>81</v>
      </c>
    </row>
    <row r="6" spans="1:5" x14ac:dyDescent="0.4">
      <c r="A6" s="3" t="s">
        <v>12</v>
      </c>
      <c r="B6" s="3" t="s">
        <v>13</v>
      </c>
      <c r="C6" s="3" t="s">
        <v>9</v>
      </c>
      <c r="D6" s="4">
        <v>121421.42689276834</v>
      </c>
      <c r="E6" s="3" t="s">
        <v>81</v>
      </c>
    </row>
    <row r="7" spans="1:5" x14ac:dyDescent="0.4">
      <c r="A7" s="3" t="s">
        <v>14</v>
      </c>
      <c r="B7" s="3" t="s">
        <v>13</v>
      </c>
      <c r="C7" s="3" t="s">
        <v>9</v>
      </c>
      <c r="D7" s="4">
        <v>57814.730923479161</v>
      </c>
      <c r="E7" s="3" t="s">
        <v>81</v>
      </c>
    </row>
    <row r="8" spans="1:5" x14ac:dyDescent="0.4">
      <c r="A8" s="3" t="s">
        <v>15</v>
      </c>
      <c r="B8" s="3" t="s">
        <v>16</v>
      </c>
      <c r="C8" s="3" t="s">
        <v>9</v>
      </c>
      <c r="D8" s="4">
        <v>537962.332719445</v>
      </c>
      <c r="E8" s="3" t="s">
        <v>81</v>
      </c>
    </row>
    <row r="9" spans="1:5" x14ac:dyDescent="0.4">
      <c r="A9" s="3" t="s">
        <v>17</v>
      </c>
      <c r="B9" s="3" t="s">
        <v>18</v>
      </c>
      <c r="C9" s="3" t="s">
        <v>9</v>
      </c>
      <c r="D9" s="4">
        <v>6753.6106722595432</v>
      </c>
      <c r="E9" s="3" t="s">
        <v>80</v>
      </c>
    </row>
    <row r="10" spans="1:5" x14ac:dyDescent="0.4">
      <c r="A10" s="3" t="s">
        <v>19</v>
      </c>
      <c r="B10" s="3" t="s">
        <v>20</v>
      </c>
      <c r="C10" s="3" t="s">
        <v>9</v>
      </c>
      <c r="D10" s="4">
        <v>120155.48460329951</v>
      </c>
      <c r="E10" s="3" t="s">
        <v>81</v>
      </c>
    </row>
    <row r="11" spans="1:5" x14ac:dyDescent="0.4">
      <c r="A11" s="3" t="s">
        <v>21</v>
      </c>
      <c r="B11" s="3" t="s">
        <v>22</v>
      </c>
      <c r="C11" s="3" t="s">
        <v>9</v>
      </c>
      <c r="D11" s="4">
        <v>280022.39987629937</v>
      </c>
      <c r="E11" s="3" t="s">
        <v>81</v>
      </c>
    </row>
    <row r="12" spans="1:5" x14ac:dyDescent="0.4">
      <c r="A12" s="3" t="s">
        <v>23</v>
      </c>
      <c r="B12" s="3" t="s">
        <v>24</v>
      </c>
      <c r="C12" s="3" t="s">
        <v>9</v>
      </c>
      <c r="D12" s="4">
        <v>42799</v>
      </c>
      <c r="E12" s="3" t="s">
        <v>80</v>
      </c>
    </row>
    <row r="13" spans="1:5" x14ac:dyDescent="0.4">
      <c r="A13" s="3" t="s">
        <v>25</v>
      </c>
      <c r="B13" s="3" t="s">
        <v>24</v>
      </c>
      <c r="C13" s="3" t="s">
        <v>9</v>
      </c>
      <c r="D13" s="4">
        <v>106166.70000000001</v>
      </c>
      <c r="E13" s="3" t="s">
        <v>81</v>
      </c>
    </row>
    <row r="14" spans="1:5" x14ac:dyDescent="0.4">
      <c r="A14" s="3" t="s">
        <v>26</v>
      </c>
      <c r="B14" s="3" t="s">
        <v>27</v>
      </c>
      <c r="C14" s="3" t="s">
        <v>9</v>
      </c>
      <c r="D14" s="4">
        <v>59008.361666666671</v>
      </c>
      <c r="E14" s="3" t="s">
        <v>81</v>
      </c>
    </row>
    <row r="15" spans="1:5" x14ac:dyDescent="0.4">
      <c r="A15" s="3" t="s">
        <v>28</v>
      </c>
      <c r="B15" s="3" t="s">
        <v>29</v>
      </c>
      <c r="C15" s="3" t="s">
        <v>9</v>
      </c>
      <c r="D15" s="4">
        <v>390796.88477064227</v>
      </c>
      <c r="E15" s="3" t="s">
        <v>81</v>
      </c>
    </row>
    <row r="16" spans="1:5" x14ac:dyDescent="0.4">
      <c r="A16" s="3" t="s">
        <v>30</v>
      </c>
      <c r="B16" s="3" t="s">
        <v>18</v>
      </c>
      <c r="C16" s="3" t="s">
        <v>9</v>
      </c>
      <c r="D16" s="4">
        <v>25005.846570989575</v>
      </c>
      <c r="E16" s="3" t="s">
        <v>80</v>
      </c>
    </row>
    <row r="17" spans="1:5" x14ac:dyDescent="0.4">
      <c r="A17" s="3" t="s">
        <v>31</v>
      </c>
      <c r="B17" s="3" t="s">
        <v>18</v>
      </c>
      <c r="C17" s="3" t="s">
        <v>9</v>
      </c>
      <c r="D17" s="4">
        <v>51044.647118252149</v>
      </c>
      <c r="E17" s="3" t="s">
        <v>80</v>
      </c>
    </row>
    <row r="18" spans="1:5" x14ac:dyDescent="0.4">
      <c r="A18" s="3" t="s">
        <v>32</v>
      </c>
      <c r="B18" s="3" t="s">
        <v>8</v>
      </c>
      <c r="C18" s="3" t="s">
        <v>9</v>
      </c>
      <c r="D18" s="4">
        <v>99496.175879514602</v>
      </c>
      <c r="E18" s="3" t="s">
        <v>80</v>
      </c>
    </row>
    <row r="19" spans="1:5" x14ac:dyDescent="0.4">
      <c r="A19" s="3" t="s">
        <v>33</v>
      </c>
      <c r="B19" s="3" t="s">
        <v>8</v>
      </c>
      <c r="C19" s="3" t="s">
        <v>9</v>
      </c>
      <c r="D19" s="4">
        <v>15307.647421373516</v>
      </c>
      <c r="E19" s="3" t="s">
        <v>80</v>
      </c>
    </row>
    <row r="20" spans="1:5" x14ac:dyDescent="0.4">
      <c r="A20" s="3" t="s">
        <v>34</v>
      </c>
      <c r="B20" s="3" t="s">
        <v>35</v>
      </c>
      <c r="C20" s="3" t="s">
        <v>9</v>
      </c>
      <c r="D20" s="4">
        <v>2116760.1201187787</v>
      </c>
      <c r="E20" s="3" t="s">
        <v>80</v>
      </c>
    </row>
    <row r="21" spans="1:5" x14ac:dyDescent="0.4">
      <c r="A21" s="3" t="s">
        <v>36</v>
      </c>
      <c r="B21" s="3" t="s">
        <v>37</v>
      </c>
      <c r="C21" s="3" t="s">
        <v>9</v>
      </c>
      <c r="D21" s="4">
        <v>246476.61719623115</v>
      </c>
      <c r="E21" s="3" t="s">
        <v>80</v>
      </c>
    </row>
    <row r="22" spans="1:5" x14ac:dyDescent="0.4">
      <c r="A22" s="3" t="s">
        <v>38</v>
      </c>
      <c r="B22" s="3" t="s">
        <v>37</v>
      </c>
      <c r="C22" s="3" t="s">
        <v>9</v>
      </c>
      <c r="D22" s="4">
        <v>131042.94999999998</v>
      </c>
      <c r="E22" s="3" t="s">
        <v>80</v>
      </c>
    </row>
    <row r="23" spans="1:5" x14ac:dyDescent="0.4">
      <c r="A23" s="3" t="s">
        <v>39</v>
      </c>
      <c r="B23" s="3" t="s">
        <v>40</v>
      </c>
      <c r="C23" s="3" t="s">
        <v>9</v>
      </c>
      <c r="D23" s="4">
        <v>523095.4248675995</v>
      </c>
      <c r="E23" s="3" t="s">
        <v>80</v>
      </c>
    </row>
    <row r="24" spans="1:5" x14ac:dyDescent="0.4">
      <c r="A24" s="3" t="s">
        <v>41</v>
      </c>
      <c r="B24" s="3" t="s">
        <v>42</v>
      </c>
      <c r="C24" s="3" t="s">
        <v>43</v>
      </c>
      <c r="D24" s="4">
        <v>431.32019922397944</v>
      </c>
      <c r="E24" s="3" t="s">
        <v>80</v>
      </c>
    </row>
    <row r="25" spans="1:5" x14ac:dyDescent="0.4">
      <c r="A25" s="3" t="s">
        <v>44</v>
      </c>
      <c r="B25" s="3" t="s">
        <v>42</v>
      </c>
      <c r="C25" s="3" t="s">
        <v>43</v>
      </c>
      <c r="D25" s="4">
        <v>285287.78480573674</v>
      </c>
      <c r="E25" s="3" t="s">
        <v>80</v>
      </c>
    </row>
    <row r="26" spans="1:5" x14ac:dyDescent="0.4">
      <c r="A26" s="3" t="s">
        <v>45</v>
      </c>
      <c r="B26" s="3" t="s">
        <v>46</v>
      </c>
      <c r="C26" s="3" t="s">
        <v>43</v>
      </c>
      <c r="D26" s="4">
        <v>106777.90023232829</v>
      </c>
      <c r="E26" s="3" t="s">
        <v>80</v>
      </c>
    </row>
    <row r="27" spans="1:5" x14ac:dyDescent="0.4">
      <c r="A27" s="3" t="s">
        <v>47</v>
      </c>
      <c r="B27" s="3" t="s">
        <v>42</v>
      </c>
      <c r="C27" s="3" t="s">
        <v>43</v>
      </c>
      <c r="D27" s="4">
        <v>21719.545840799812</v>
      </c>
      <c r="E27" s="3" t="s">
        <v>80</v>
      </c>
    </row>
    <row r="28" spans="1:5" x14ac:dyDescent="0.4">
      <c r="A28" s="3" t="s">
        <v>48</v>
      </c>
      <c r="B28" s="3" t="s">
        <v>49</v>
      </c>
      <c r="C28" s="3" t="s">
        <v>43</v>
      </c>
      <c r="D28" s="4">
        <v>21792.819999999996</v>
      </c>
      <c r="E28" s="3" t="s">
        <v>80</v>
      </c>
    </row>
    <row r="29" spans="1:5" x14ac:dyDescent="0.4">
      <c r="A29" s="3" t="s">
        <v>50</v>
      </c>
      <c r="B29" s="3" t="s">
        <v>51</v>
      </c>
      <c r="C29" s="3" t="s">
        <v>52</v>
      </c>
      <c r="D29" s="4">
        <v>493496.09898442903</v>
      </c>
      <c r="E29" s="3" t="s">
        <v>80</v>
      </c>
    </row>
    <row r="30" spans="1:5" x14ac:dyDescent="0.4">
      <c r="A30" s="3" t="s">
        <v>53</v>
      </c>
      <c r="B30" s="3" t="s">
        <v>51</v>
      </c>
      <c r="C30" s="3" t="s">
        <v>52</v>
      </c>
      <c r="D30" s="4">
        <v>312213.46000000002</v>
      </c>
      <c r="E30" s="3" t="s">
        <v>80</v>
      </c>
    </row>
    <row r="31" spans="1:5" x14ac:dyDescent="0.4">
      <c r="A31" s="3" t="s">
        <v>54</v>
      </c>
      <c r="B31" s="3" t="s">
        <v>55</v>
      </c>
      <c r="C31" s="3" t="s">
        <v>56</v>
      </c>
      <c r="D31" s="4">
        <v>672.18763024106249</v>
      </c>
      <c r="E31" s="3" t="s">
        <v>80</v>
      </c>
    </row>
    <row r="32" spans="1:5" x14ac:dyDescent="0.4">
      <c r="A32" s="3" t="s">
        <v>57</v>
      </c>
      <c r="B32" s="3" t="s">
        <v>58</v>
      </c>
      <c r="C32" s="3" t="s">
        <v>59</v>
      </c>
      <c r="D32" s="4">
        <v>1761.2529048317913</v>
      </c>
      <c r="E32" s="3" t="s">
        <v>80</v>
      </c>
    </row>
    <row r="33" spans="1:5" x14ac:dyDescent="0.4">
      <c r="A33" s="3" t="s">
        <v>60</v>
      </c>
      <c r="B33" s="3" t="s">
        <v>82</v>
      </c>
      <c r="C33" s="3" t="s">
        <v>61</v>
      </c>
      <c r="D33" s="4">
        <v>22966.119999999995</v>
      </c>
      <c r="E33" s="3" t="s">
        <v>80</v>
      </c>
    </row>
    <row r="34" spans="1:5" x14ac:dyDescent="0.4">
      <c r="A34" s="3" t="s">
        <v>62</v>
      </c>
      <c r="B34" s="3" t="s">
        <v>63</v>
      </c>
      <c r="C34" s="3" t="s">
        <v>64</v>
      </c>
      <c r="D34" s="4">
        <v>26591.941165500408</v>
      </c>
      <c r="E34" s="3" t="s">
        <v>80</v>
      </c>
    </row>
    <row r="35" spans="1:5" x14ac:dyDescent="0.4">
      <c r="A35" s="3" t="s">
        <v>65</v>
      </c>
      <c r="B35" s="3" t="s">
        <v>83</v>
      </c>
      <c r="C35" s="3" t="s">
        <v>66</v>
      </c>
      <c r="D35" s="4">
        <v>0</v>
      </c>
      <c r="E35" s="3" t="s">
        <v>80</v>
      </c>
    </row>
    <row r="36" spans="1:5" x14ac:dyDescent="0.4">
      <c r="A36" s="3" t="s">
        <v>67</v>
      </c>
      <c r="B36" s="3" t="s">
        <v>68</v>
      </c>
      <c r="C36" s="3" t="s">
        <v>69</v>
      </c>
      <c r="D36" s="4">
        <v>58330.768879439645</v>
      </c>
      <c r="E36" s="3" t="s">
        <v>80</v>
      </c>
    </row>
    <row r="37" spans="1:5" x14ac:dyDescent="0.4">
      <c r="A37" s="3" t="s">
        <v>70</v>
      </c>
      <c r="B37" s="3" t="s">
        <v>71</v>
      </c>
      <c r="C37" s="3" t="s">
        <v>72</v>
      </c>
      <c r="D37" s="4">
        <v>2917.0406595366862</v>
      </c>
      <c r="E37" s="3" t="s">
        <v>80</v>
      </c>
    </row>
    <row r="38" spans="1:5" x14ac:dyDescent="0.4">
      <c r="A38" s="3" t="s">
        <v>73</v>
      </c>
      <c r="B38" s="3" t="s">
        <v>84</v>
      </c>
      <c r="C38" s="3" t="s">
        <v>74</v>
      </c>
      <c r="D38" s="4">
        <v>0</v>
      </c>
      <c r="E38" s="3" t="s">
        <v>80</v>
      </c>
    </row>
    <row r="39" spans="1:5" x14ac:dyDescent="0.4">
      <c r="A39" s="3" t="s">
        <v>75</v>
      </c>
      <c r="B39" s="3" t="s">
        <v>76</v>
      </c>
      <c r="C39" s="3" t="s">
        <v>77</v>
      </c>
      <c r="D39" s="4">
        <v>7838.8727495560652</v>
      </c>
      <c r="E39" s="3" t="s">
        <v>80</v>
      </c>
    </row>
    <row r="40" spans="1:5" x14ac:dyDescent="0.4">
      <c r="A40" s="3" t="s">
        <v>78</v>
      </c>
      <c r="B40" s="3" t="s">
        <v>85</v>
      </c>
      <c r="C40" s="3" t="s">
        <v>6</v>
      </c>
      <c r="D40" s="4">
        <v>0</v>
      </c>
      <c r="E40" s="3" t="s">
        <v>80</v>
      </c>
    </row>
    <row r="41" spans="1:5" x14ac:dyDescent="0.4">
      <c r="A41" s="1"/>
      <c r="B41" s="1"/>
      <c r="C41" s="1"/>
      <c r="D41" s="5">
        <f>SUM(D2:D40)</f>
        <v>7401519.3498375136</v>
      </c>
      <c r="E41" s="1"/>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6" x14ac:dyDescent="0.4"/>
  <cols>
    <col min="1" max="1" width="4.3046875" customWidth="1"/>
  </cols>
  <sheetData>
    <row r="3" spans="2:2" ht="18" x14ac:dyDescent="0.4">
      <c r="B3" s="6" t="s">
        <v>91</v>
      </c>
    </row>
    <row r="4" spans="2:2" ht="18" x14ac:dyDescent="0.4">
      <c r="B4" s="6"/>
    </row>
    <row r="5" spans="2:2" ht="18" x14ac:dyDescent="0.4">
      <c r="B5" s="6"/>
    </row>
    <row r="6" spans="2:2" ht="18" x14ac:dyDescent="0.4">
      <c r="B6" s="6"/>
    </row>
    <row r="7" spans="2:2" ht="18" x14ac:dyDescent="0.4">
      <c r="B7" s="6" t="s">
        <v>92</v>
      </c>
    </row>
    <row r="8" spans="2:2" ht="18" x14ac:dyDescent="0.4">
      <c r="B8" s="7" t="s">
        <v>93</v>
      </c>
    </row>
    <row r="9" spans="2:2" ht="18" x14ac:dyDescent="0.4">
      <c r="B9" s="7"/>
    </row>
    <row r="10" spans="2:2" ht="18" x14ac:dyDescent="0.4">
      <c r="B10" s="7"/>
    </row>
    <row r="11" spans="2:2" ht="18" x14ac:dyDescent="0.4">
      <c r="B11" s="7"/>
    </row>
    <row r="12" spans="2:2" ht="18" x14ac:dyDescent="0.4">
      <c r="B12" s="6" t="s">
        <v>94</v>
      </c>
    </row>
    <row r="13" spans="2:2" ht="18" x14ac:dyDescent="0.4">
      <c r="B13" s="7" t="s">
        <v>96</v>
      </c>
    </row>
    <row r="14" spans="2:2" ht="18" x14ac:dyDescent="0.4">
      <c r="B14" s="7" t="s">
        <v>98</v>
      </c>
    </row>
    <row r="15" spans="2:2" ht="18" x14ac:dyDescent="0.4">
      <c r="B15" s="7"/>
    </row>
    <row r="16" spans="2:2" ht="18" x14ac:dyDescent="0.4">
      <c r="B16" s="7"/>
    </row>
    <row r="17" spans="2:2" ht="18" x14ac:dyDescent="0.4">
      <c r="B17" s="6" t="s">
        <v>95</v>
      </c>
    </row>
    <row r="18" spans="2:2" ht="18" x14ac:dyDescent="0.4">
      <c r="B18" s="7" t="s">
        <v>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tint="-0.499984740745262"/>
  </sheetPr>
  <dimension ref="A1:Z99"/>
  <sheetViews>
    <sheetView topLeftCell="B1" zoomScaleNormal="100" workbookViewId="0">
      <pane ySplit="3" topLeftCell="A58" activePane="bottomLeft" state="frozen"/>
      <selection pane="bottomLeft" activeCell="R74" sqref="R74"/>
    </sheetView>
  </sheetViews>
  <sheetFormatPr defaultColWidth="9.07421875" defaultRowHeight="14.6" outlineLevelRow="1" outlineLevelCol="1" x14ac:dyDescent="0.4"/>
  <cols>
    <col min="1" max="1" width="4.53515625" style="77" customWidth="1"/>
    <col min="2" max="2" width="11.69140625" style="77" customWidth="1" outlineLevel="1"/>
    <col min="3" max="3" width="8.53515625" style="77" customWidth="1"/>
    <col min="4" max="4" width="6.3046875" style="77" hidden="1" customWidth="1" outlineLevel="1"/>
    <col min="5" max="5" width="10.3046875" style="77" hidden="1" customWidth="1" outlineLevel="1"/>
    <col min="6" max="6" width="37.53515625" style="77" hidden="1" customWidth="1" outlineLevel="1"/>
    <col min="7" max="7" width="17.3046875" style="77" hidden="1" customWidth="1" outlineLevel="1"/>
    <col min="8" max="8" width="28" style="77" hidden="1" customWidth="1" outlineLevel="1"/>
    <col min="9" max="9" width="62.84375" style="77" bestFit="1" customWidth="1" collapsed="1"/>
    <col min="10" max="10" width="16" style="77" customWidth="1"/>
    <col min="11" max="11" width="18.07421875" style="77" customWidth="1"/>
    <col min="12" max="12" width="13.07421875" style="77" bestFit="1" customWidth="1"/>
    <col min="13" max="13" width="15" style="100" customWidth="1"/>
    <col min="14" max="17" width="15" style="100" hidden="1" customWidth="1" outlineLevel="1"/>
    <col min="18" max="18" width="15" style="100" customWidth="1" collapsed="1"/>
    <col min="19" max="24" width="15" style="100" customWidth="1"/>
    <col min="25" max="25" width="116.53515625" style="77" customWidth="1"/>
    <col min="26" max="26" width="9.07421875" style="209"/>
    <col min="27" max="16384" width="9.07421875" style="77"/>
  </cols>
  <sheetData>
    <row r="1" spans="1:26" x14ac:dyDescent="0.4">
      <c r="A1" s="75" t="s">
        <v>192</v>
      </c>
      <c r="S1" s="142" t="s">
        <v>268</v>
      </c>
      <c r="T1" s="175" t="s">
        <v>306</v>
      </c>
      <c r="W1" s="175" t="s">
        <v>408</v>
      </c>
    </row>
    <row r="2" spans="1:26" x14ac:dyDescent="0.4">
      <c r="A2" s="78"/>
      <c r="E2" s="79"/>
      <c r="F2" s="80"/>
      <c r="G2" s="80"/>
    </row>
    <row r="3" spans="1:26" s="76" customFormat="1" ht="29.15" x14ac:dyDescent="0.4">
      <c r="A3" s="9"/>
      <c r="B3" s="9" t="s">
        <v>228</v>
      </c>
      <c r="C3" s="9" t="s">
        <v>125</v>
      </c>
      <c r="D3" s="9" t="s">
        <v>126</v>
      </c>
      <c r="E3" s="9" t="s">
        <v>127</v>
      </c>
      <c r="F3" s="81" t="s">
        <v>86</v>
      </c>
      <c r="G3" s="81" t="s">
        <v>203</v>
      </c>
      <c r="H3" s="81" t="s">
        <v>114</v>
      </c>
      <c r="I3" s="81" t="s">
        <v>87</v>
      </c>
      <c r="J3" s="81" t="s">
        <v>483</v>
      </c>
      <c r="K3" s="9" t="s">
        <v>128</v>
      </c>
      <c r="L3" s="9" t="s">
        <v>129</v>
      </c>
      <c r="M3" s="101" t="s">
        <v>133</v>
      </c>
      <c r="N3" s="102" t="s">
        <v>130</v>
      </c>
      <c r="O3" s="102" t="s">
        <v>131</v>
      </c>
      <c r="P3" s="102" t="s">
        <v>132</v>
      </c>
      <c r="Q3" s="102" t="s">
        <v>222</v>
      </c>
      <c r="R3" s="261" t="s">
        <v>363</v>
      </c>
      <c r="S3" s="103" t="s">
        <v>241</v>
      </c>
      <c r="T3" s="111" t="s">
        <v>301</v>
      </c>
      <c r="U3" s="143" t="s">
        <v>406</v>
      </c>
      <c r="V3" s="143" t="s">
        <v>269</v>
      </c>
      <c r="W3" s="143" t="s">
        <v>407</v>
      </c>
      <c r="X3" s="188" t="s">
        <v>328</v>
      </c>
      <c r="Y3" s="9" t="s">
        <v>183</v>
      </c>
      <c r="Z3" s="187" t="s">
        <v>327</v>
      </c>
    </row>
    <row r="4" spans="1:26" s="202" customFormat="1" hidden="1" outlineLevel="1" x14ac:dyDescent="0.4">
      <c r="A4" s="191">
        <v>1</v>
      </c>
      <c r="B4" s="192" t="s">
        <v>90</v>
      </c>
      <c r="C4" s="193">
        <v>10085</v>
      </c>
      <c r="D4" s="192">
        <v>4591</v>
      </c>
      <c r="E4" s="192"/>
      <c r="F4" s="192" t="s">
        <v>28</v>
      </c>
      <c r="G4" s="194" t="str">
        <f>VLOOKUP(F4,lookup!B:C,2,FALSE)</f>
        <v>Peabody</v>
      </c>
      <c r="H4" s="192" t="s">
        <v>331</v>
      </c>
      <c r="I4" s="192" t="s">
        <v>108</v>
      </c>
      <c r="J4" s="192" t="s">
        <v>484</v>
      </c>
      <c r="K4" s="192" t="s">
        <v>309</v>
      </c>
      <c r="L4" s="192" t="s">
        <v>156</v>
      </c>
      <c r="M4" s="195">
        <v>17500</v>
      </c>
      <c r="N4" s="196">
        <v>22000</v>
      </c>
      <c r="O4" s="196">
        <v>17500</v>
      </c>
      <c r="P4" s="196">
        <v>17500</v>
      </c>
      <c r="Q4" s="196">
        <v>17500</v>
      </c>
      <c r="R4" s="195">
        <v>0</v>
      </c>
      <c r="S4" s="197">
        <f>'10085'!H18</f>
        <v>17500</v>
      </c>
      <c r="T4" s="198">
        <v>0</v>
      </c>
      <c r="U4" s="199">
        <v>0</v>
      </c>
      <c r="V4" s="199">
        <v>0</v>
      </c>
      <c r="W4" s="232">
        <f>IF(V4="TBD","TBD",U4+V4)</f>
        <v>0</v>
      </c>
      <c r="X4" s="200">
        <v>0</v>
      </c>
      <c r="Y4" s="201" t="s">
        <v>262</v>
      </c>
      <c r="Z4" s="209">
        <f>VLOOKUP(C4,'Summary_by FY'!$C$1:$C$1038,1,FALSE)</f>
        <v>10085</v>
      </c>
    </row>
    <row r="5" spans="1:26" s="202" customFormat="1" hidden="1" outlineLevel="1" x14ac:dyDescent="0.4">
      <c r="A5" s="191">
        <f>A4+1</f>
        <v>2</v>
      </c>
      <c r="B5" s="192" t="s">
        <v>89</v>
      </c>
      <c r="C5" s="193">
        <v>10098</v>
      </c>
      <c r="D5" s="192">
        <v>1627</v>
      </c>
      <c r="E5" s="192" t="s">
        <v>110</v>
      </c>
      <c r="F5" s="192" t="s">
        <v>21</v>
      </c>
      <c r="G5" s="194" t="str">
        <f>VLOOKUP(F5,lookup!B:C,2,FALSE)</f>
        <v>SOM Basic Sciences</v>
      </c>
      <c r="H5" s="192" t="s">
        <v>147</v>
      </c>
      <c r="I5" s="192" t="s">
        <v>289</v>
      </c>
      <c r="J5" s="192" t="s">
        <v>484</v>
      </c>
      <c r="K5" s="192" t="s">
        <v>309</v>
      </c>
      <c r="L5" s="192" t="s">
        <v>151</v>
      </c>
      <c r="M5" s="195">
        <v>1216485.5</v>
      </c>
      <c r="N5" s="196">
        <v>1216485.5</v>
      </c>
      <c r="O5" s="196">
        <v>1212084.54</v>
      </c>
      <c r="P5" s="196">
        <v>1212084.54</v>
      </c>
      <c r="Q5" s="196">
        <v>1212084.54</v>
      </c>
      <c r="R5" s="195">
        <v>0</v>
      </c>
      <c r="S5" s="197">
        <f>'10098'!H9</f>
        <v>1216485.5</v>
      </c>
      <c r="T5" s="198">
        <f>'10098'!H10</f>
        <v>-4400.96</v>
      </c>
      <c r="U5" s="199">
        <v>0</v>
      </c>
      <c r="V5" s="199">
        <v>0</v>
      </c>
      <c r="W5" s="232">
        <f t="shared" ref="W5:W68" si="0">IF(V5="TBD","TBD",U5+V5)</f>
        <v>0</v>
      </c>
      <c r="X5" s="200">
        <v>0</v>
      </c>
      <c r="Y5" s="201" t="s">
        <v>319</v>
      </c>
      <c r="Z5" s="209">
        <f>VLOOKUP(C5,'Summary_by FY'!$C$1:$C$1038,1,FALSE)</f>
        <v>10098</v>
      </c>
    </row>
    <row r="6" spans="1:26" s="90" customFormat="1" collapsed="1" x14ac:dyDescent="0.4">
      <c r="A6" s="93">
        <f t="shared" ref="A6:A69" si="1">A5+1</f>
        <v>3</v>
      </c>
      <c r="B6" s="285" t="s">
        <v>89</v>
      </c>
      <c r="C6" s="176">
        <v>10146</v>
      </c>
      <c r="D6" s="91">
        <v>8206</v>
      </c>
      <c r="E6" s="91" t="s">
        <v>176</v>
      </c>
      <c r="F6" s="91" t="s">
        <v>177</v>
      </c>
      <c r="G6" s="92" t="str">
        <f>VLOOKUP(F6,lookup!B:C,2,FALSE)</f>
        <v>Nursing</v>
      </c>
      <c r="H6" s="91" t="s">
        <v>334</v>
      </c>
      <c r="I6" s="91" t="s">
        <v>423</v>
      </c>
      <c r="J6" s="91" t="s">
        <v>465</v>
      </c>
      <c r="K6" s="91" t="s">
        <v>261</v>
      </c>
      <c r="L6" s="91" t="s">
        <v>156</v>
      </c>
      <c r="M6" s="104">
        <v>318000</v>
      </c>
      <c r="N6" s="105">
        <v>318057</v>
      </c>
      <c r="O6" s="105">
        <v>253826.81</v>
      </c>
      <c r="P6" s="105">
        <v>253826.81</v>
      </c>
      <c r="Q6" s="105">
        <v>253826.81</v>
      </c>
      <c r="R6" s="258">
        <v>64230.19</v>
      </c>
      <c r="S6" s="106">
        <f>'10146'!H9</f>
        <v>4900</v>
      </c>
      <c r="T6" s="112">
        <f>'10146'!H15</f>
        <v>255957</v>
      </c>
      <c r="U6" s="144">
        <v>0</v>
      </c>
      <c r="V6" s="144">
        <v>0</v>
      </c>
      <c r="W6" s="231">
        <f t="shared" si="0"/>
        <v>0</v>
      </c>
      <c r="X6" s="189">
        <v>0</v>
      </c>
      <c r="Y6" t="s">
        <v>441</v>
      </c>
      <c r="Z6" s="209">
        <f>VLOOKUP(C6,'Summary_by FY'!$C$1:$C$1038,1,FALSE)</f>
        <v>10146</v>
      </c>
    </row>
    <row r="7" spans="1:26" s="202" customFormat="1" hidden="1" outlineLevel="1" x14ac:dyDescent="0.4">
      <c r="A7" s="191">
        <f t="shared" si="1"/>
        <v>4</v>
      </c>
      <c r="B7" s="286" t="s">
        <v>89</v>
      </c>
      <c r="C7" s="193">
        <v>20179</v>
      </c>
      <c r="D7" s="192">
        <v>36015</v>
      </c>
      <c r="E7" s="192" t="s">
        <v>104</v>
      </c>
      <c r="F7" s="192" t="s">
        <v>154</v>
      </c>
      <c r="G7" s="194" t="str">
        <f>VLOOKUP(F7,lookup!B:C,2,FALSE)</f>
        <v>Law</v>
      </c>
      <c r="H7" s="192" t="s">
        <v>272</v>
      </c>
      <c r="I7" s="192" t="s">
        <v>271</v>
      </c>
      <c r="J7" s="192" t="s">
        <v>484</v>
      </c>
      <c r="K7" s="192" t="s">
        <v>309</v>
      </c>
      <c r="L7" s="192" t="s">
        <v>155</v>
      </c>
      <c r="M7" s="195">
        <v>1445389</v>
      </c>
      <c r="N7" s="196">
        <v>1445389</v>
      </c>
      <c r="O7" s="196">
        <v>1352423.14</v>
      </c>
      <c r="P7" s="196">
        <v>1352423.14</v>
      </c>
      <c r="Q7" s="196">
        <v>1352423.14</v>
      </c>
      <c r="R7" s="259"/>
      <c r="S7" s="197">
        <f>'20179'!H9</f>
        <v>722694.5</v>
      </c>
      <c r="T7" s="198">
        <v>0</v>
      </c>
      <c r="U7" s="199">
        <f>'20179'!H11</f>
        <v>-92965.86</v>
      </c>
      <c r="V7" s="199">
        <v>0</v>
      </c>
      <c r="W7" s="232">
        <f t="shared" si="0"/>
        <v>-92965.86</v>
      </c>
      <c r="X7" s="200">
        <v>0</v>
      </c>
      <c r="Y7" s="201" t="s">
        <v>434</v>
      </c>
      <c r="Z7" s="257">
        <f>VLOOKUP(C7,'Summary_by FY'!$C$1:$C$1038,1,FALSE)</f>
        <v>20179</v>
      </c>
    </row>
    <row r="8" spans="1:26" s="202" customFormat="1" hidden="1" outlineLevel="1" x14ac:dyDescent="0.4">
      <c r="A8" s="191">
        <f t="shared" si="1"/>
        <v>5</v>
      </c>
      <c r="B8" s="286" t="s">
        <v>89</v>
      </c>
      <c r="C8" s="193">
        <v>20336</v>
      </c>
      <c r="D8" s="192">
        <v>20075</v>
      </c>
      <c r="E8" s="192" t="s">
        <v>102</v>
      </c>
      <c r="F8" s="192" t="s">
        <v>12</v>
      </c>
      <c r="G8" s="194" t="str">
        <f>VLOOKUP(F8,lookup!B:C,2,FALSE)</f>
        <v>Blair</v>
      </c>
      <c r="H8" s="192" t="s">
        <v>150</v>
      </c>
      <c r="I8" s="192" t="s">
        <v>187</v>
      </c>
      <c r="J8" s="192" t="s">
        <v>484</v>
      </c>
      <c r="K8" s="192" t="s">
        <v>309</v>
      </c>
      <c r="L8" s="192" t="s">
        <v>149</v>
      </c>
      <c r="M8" s="195">
        <v>327890</v>
      </c>
      <c r="N8" s="196">
        <v>327890</v>
      </c>
      <c r="O8" s="196">
        <v>280600</v>
      </c>
      <c r="P8" s="196">
        <v>280600</v>
      </c>
      <c r="Q8" s="196">
        <v>280600</v>
      </c>
      <c r="R8" s="259"/>
      <c r="S8" s="197">
        <f>'20336'!H9+'20336'!H10+'20336'!H11</f>
        <v>327890</v>
      </c>
      <c r="T8" s="198">
        <f>'20336'!H12</f>
        <v>-47290</v>
      </c>
      <c r="U8" s="144">
        <v>0</v>
      </c>
      <c r="V8" s="199">
        <v>0</v>
      </c>
      <c r="W8" s="232">
        <f t="shared" si="0"/>
        <v>0</v>
      </c>
      <c r="X8" s="200">
        <v>0</v>
      </c>
      <c r="Y8" s="201" t="s">
        <v>356</v>
      </c>
      <c r="Z8" s="209">
        <f>VLOOKUP(C8,'Summary_by FY'!$C$1:$C$1038,1,FALSE)</f>
        <v>20336</v>
      </c>
    </row>
    <row r="9" spans="1:26" s="90" customFormat="1" collapsed="1" x14ac:dyDescent="0.4">
      <c r="A9" s="93">
        <f t="shared" si="1"/>
        <v>6</v>
      </c>
      <c r="B9" s="285" t="s">
        <v>89</v>
      </c>
      <c r="C9" s="176">
        <v>20431</v>
      </c>
      <c r="D9" s="91">
        <v>8084</v>
      </c>
      <c r="E9" s="91" t="s">
        <v>103</v>
      </c>
      <c r="F9" s="91" t="s">
        <v>14</v>
      </c>
      <c r="G9" s="92" t="str">
        <f>VLOOKUP(F9,lookup!B:C,2,FALSE)</f>
        <v>Divinity</v>
      </c>
      <c r="H9" s="91" t="s">
        <v>152</v>
      </c>
      <c r="I9" s="91" t="s">
        <v>335</v>
      </c>
      <c r="J9" s="91" t="s">
        <v>465</v>
      </c>
      <c r="K9" s="91" t="s">
        <v>290</v>
      </c>
      <c r="L9" s="91" t="s">
        <v>151</v>
      </c>
      <c r="M9" s="104">
        <v>3800000</v>
      </c>
      <c r="N9" s="105">
        <v>3800000</v>
      </c>
      <c r="O9" s="105">
        <v>3618276.67</v>
      </c>
      <c r="P9" s="105">
        <v>3620301.67</v>
      </c>
      <c r="Q9" s="105">
        <v>3470398.86</v>
      </c>
      <c r="R9" s="258">
        <v>191010.33</v>
      </c>
      <c r="S9" s="106">
        <f>'20431'!H10+'20431'!H11+'20431'!H13</f>
        <v>69862.5</v>
      </c>
      <c r="T9" s="112">
        <f>'20431'!H15</f>
        <v>3660360</v>
      </c>
      <c r="U9" s="144">
        <v>0</v>
      </c>
      <c r="V9" s="144">
        <v>0</v>
      </c>
      <c r="W9" s="231">
        <f t="shared" si="0"/>
        <v>0</v>
      </c>
      <c r="X9" s="189">
        <v>0</v>
      </c>
      <c r="Y9" t="s">
        <v>488</v>
      </c>
      <c r="Z9" s="209">
        <f>VLOOKUP(C9,'Summary_by FY'!$C$1:$C$1038,1,FALSE)</f>
        <v>20431</v>
      </c>
    </row>
    <row r="10" spans="1:26" s="90" customFormat="1" x14ac:dyDescent="0.4">
      <c r="A10" s="93">
        <f t="shared" si="1"/>
        <v>7</v>
      </c>
      <c r="B10" s="285" t="s">
        <v>89</v>
      </c>
      <c r="C10" s="176">
        <v>20478</v>
      </c>
      <c r="D10" s="91">
        <v>8672</v>
      </c>
      <c r="E10" s="91" t="s">
        <v>232</v>
      </c>
      <c r="F10" s="91" t="s">
        <v>10</v>
      </c>
      <c r="G10" s="92" t="str">
        <f>VLOOKUP(F10,lookup!B:C,2,FALSE)</f>
        <v>Arts &amp; Science</v>
      </c>
      <c r="H10" s="91" t="s">
        <v>242</v>
      </c>
      <c r="I10" s="91" t="s">
        <v>233</v>
      </c>
      <c r="J10" s="91" t="s">
        <v>465</v>
      </c>
      <c r="K10" s="91" t="s">
        <v>290</v>
      </c>
      <c r="L10" s="91" t="s">
        <v>234</v>
      </c>
      <c r="M10" s="104">
        <v>2790000</v>
      </c>
      <c r="N10" s="105">
        <v>2790000</v>
      </c>
      <c r="O10" s="105">
        <v>2652824.48</v>
      </c>
      <c r="P10" s="105">
        <v>2652824.48</v>
      </c>
      <c r="Q10" s="105">
        <v>2652824.48</v>
      </c>
      <c r="R10" s="258">
        <v>0</v>
      </c>
      <c r="S10" s="106">
        <f>'20478'!H9+'20478'!H11</f>
        <v>81100</v>
      </c>
      <c r="T10" s="112">
        <f>'20478'!H13</f>
        <v>1028900</v>
      </c>
      <c r="U10" s="144">
        <v>0</v>
      </c>
      <c r="V10" s="144">
        <v>0</v>
      </c>
      <c r="W10" s="231">
        <f t="shared" si="0"/>
        <v>0</v>
      </c>
      <c r="X10" s="189">
        <v>0</v>
      </c>
      <c r="Y10" t="s">
        <v>489</v>
      </c>
      <c r="Z10" s="209">
        <f>VLOOKUP(C10,'Summary_by FY'!$C$1:$C$1038,1,FALSE)</f>
        <v>20478</v>
      </c>
    </row>
    <row r="11" spans="1:26" s="90" customFormat="1" x14ac:dyDescent="0.4">
      <c r="A11" s="93">
        <f t="shared" si="1"/>
        <v>8</v>
      </c>
      <c r="B11" s="285" t="s">
        <v>89</v>
      </c>
      <c r="C11" s="176">
        <v>20489</v>
      </c>
      <c r="D11" s="91">
        <v>8051</v>
      </c>
      <c r="E11" s="91" t="s">
        <v>235</v>
      </c>
      <c r="F11" s="91" t="s">
        <v>14</v>
      </c>
      <c r="G11" s="92" t="str">
        <f>VLOOKUP(F11,lookup!B:C,2,FALSE)</f>
        <v>Divinity</v>
      </c>
      <c r="H11" s="91" t="s">
        <v>152</v>
      </c>
      <c r="I11" s="91" t="s">
        <v>390</v>
      </c>
      <c r="J11" s="91" t="s">
        <v>465</v>
      </c>
      <c r="K11" s="91" t="s">
        <v>100</v>
      </c>
      <c r="L11" s="91" t="s">
        <v>151</v>
      </c>
      <c r="M11" s="104">
        <v>4750000</v>
      </c>
      <c r="N11" s="105">
        <v>26500</v>
      </c>
      <c r="O11" s="105">
        <v>15895</v>
      </c>
      <c r="P11" s="105">
        <v>15895</v>
      </c>
      <c r="Q11" s="105">
        <v>14407.5</v>
      </c>
      <c r="R11" s="258"/>
      <c r="S11" s="106">
        <f>'20489'!H9</f>
        <v>26500</v>
      </c>
      <c r="T11" s="112">
        <v>0</v>
      </c>
      <c r="U11" s="144">
        <v>0</v>
      </c>
      <c r="V11" s="144">
        <v>0</v>
      </c>
      <c r="W11" s="231">
        <f t="shared" si="0"/>
        <v>0</v>
      </c>
      <c r="X11" s="189">
        <f>4700000-1530000</f>
        <v>3170000</v>
      </c>
      <c r="Y11" s="91" t="s">
        <v>490</v>
      </c>
      <c r="Z11" s="209">
        <f>VLOOKUP(C11,'Summary_by FY'!$C$1:$C$1038,1,FALSE)</f>
        <v>20489</v>
      </c>
    </row>
    <row r="12" spans="1:26" s="202" customFormat="1" hidden="1" outlineLevel="1" x14ac:dyDescent="0.4">
      <c r="A12" s="191">
        <f t="shared" si="1"/>
        <v>9</v>
      </c>
      <c r="B12" s="286" t="s">
        <v>89</v>
      </c>
      <c r="C12" s="193">
        <v>20497</v>
      </c>
      <c r="D12" s="192">
        <v>529</v>
      </c>
      <c r="E12" s="192" t="s">
        <v>106</v>
      </c>
      <c r="F12" s="192" t="s">
        <v>28</v>
      </c>
      <c r="G12" s="194" t="str">
        <f>VLOOKUP(F12,lookup!B:C,2,FALSE)</f>
        <v>Peabody</v>
      </c>
      <c r="H12" s="192" t="s">
        <v>153</v>
      </c>
      <c r="I12" s="192" t="s">
        <v>105</v>
      </c>
      <c r="J12" s="192" t="s">
        <v>484</v>
      </c>
      <c r="K12" s="192" t="s">
        <v>309</v>
      </c>
      <c r="L12" s="192" t="s">
        <v>149</v>
      </c>
      <c r="M12" s="195">
        <v>456850</v>
      </c>
      <c r="N12" s="196">
        <v>456850</v>
      </c>
      <c r="O12" s="196">
        <v>412000</v>
      </c>
      <c r="P12" s="196">
        <v>412000</v>
      </c>
      <c r="Q12" s="196">
        <v>412000</v>
      </c>
      <c r="R12" s="259"/>
      <c r="S12" s="197">
        <f>'20497'!H9</f>
        <v>79415.5</v>
      </c>
      <c r="T12" s="198">
        <f>'20497'!H11</f>
        <v>-44850</v>
      </c>
      <c r="U12" s="144">
        <v>0</v>
      </c>
      <c r="V12" s="199">
        <v>0</v>
      </c>
      <c r="W12" s="232">
        <f t="shared" si="0"/>
        <v>0</v>
      </c>
      <c r="X12" s="200">
        <v>0</v>
      </c>
      <c r="Y12" s="91" t="s">
        <v>325</v>
      </c>
      <c r="Z12" s="209">
        <f>VLOOKUP(C12,'Summary_by FY'!$C$1:$C$1038,1,FALSE)</f>
        <v>20497</v>
      </c>
    </row>
    <row r="13" spans="1:26" s="202" customFormat="1" hidden="1" outlineLevel="1" x14ac:dyDescent="0.4">
      <c r="A13" s="191">
        <f t="shared" si="1"/>
        <v>10</v>
      </c>
      <c r="B13" s="286" t="s">
        <v>89</v>
      </c>
      <c r="C13" s="193">
        <v>20506</v>
      </c>
      <c r="D13" s="192">
        <v>1170</v>
      </c>
      <c r="E13" s="192" t="s">
        <v>252</v>
      </c>
      <c r="F13" s="192" t="s">
        <v>28</v>
      </c>
      <c r="G13" s="194" t="str">
        <f>VLOOKUP(F13,lookup!B:C,2,FALSE)</f>
        <v>Peabody</v>
      </c>
      <c r="H13" s="192" t="s">
        <v>160</v>
      </c>
      <c r="I13" s="192" t="s">
        <v>239</v>
      </c>
      <c r="J13" s="192" t="s">
        <v>484</v>
      </c>
      <c r="K13" s="192" t="s">
        <v>309</v>
      </c>
      <c r="L13" s="192" t="s">
        <v>149</v>
      </c>
      <c r="M13" s="195">
        <v>344155.26</v>
      </c>
      <c r="N13" s="196">
        <v>344155.26</v>
      </c>
      <c r="O13" s="196">
        <v>307776.26</v>
      </c>
      <c r="P13" s="196">
        <v>307776.26</v>
      </c>
      <c r="Q13" s="196">
        <v>307776.26</v>
      </c>
      <c r="R13" s="259"/>
      <c r="S13" s="197">
        <f>'20506'!H9</f>
        <v>344155.26</v>
      </c>
      <c r="T13" s="198">
        <f>'20506'!H10</f>
        <v>-36379</v>
      </c>
      <c r="U13" s="144">
        <v>0</v>
      </c>
      <c r="V13" s="199">
        <v>0</v>
      </c>
      <c r="W13" s="232">
        <f t="shared" si="0"/>
        <v>0</v>
      </c>
      <c r="X13" s="200">
        <v>0</v>
      </c>
      <c r="Y13" s="91" t="s">
        <v>325</v>
      </c>
      <c r="Z13" s="209">
        <f>VLOOKUP(C13,'Summary_by FY'!$C$1:$C$1038,1,FALSE)</f>
        <v>20506</v>
      </c>
    </row>
    <row r="14" spans="1:26" s="202" customFormat="1" hidden="1" outlineLevel="1" x14ac:dyDescent="0.4">
      <c r="A14" s="191">
        <f t="shared" si="1"/>
        <v>11</v>
      </c>
      <c r="B14" s="286" t="s">
        <v>89</v>
      </c>
      <c r="C14" s="193">
        <v>20562</v>
      </c>
      <c r="D14" s="192">
        <v>4564</v>
      </c>
      <c r="E14" s="192" t="s">
        <v>227</v>
      </c>
      <c r="F14" s="192" t="s">
        <v>28</v>
      </c>
      <c r="G14" s="194" t="str">
        <f>VLOOKUP(F14,lookup!B:C,2,FALSE)</f>
        <v>Peabody</v>
      </c>
      <c r="H14" s="192" t="s">
        <v>160</v>
      </c>
      <c r="I14" s="192" t="s">
        <v>107</v>
      </c>
      <c r="J14" s="192" t="s">
        <v>484</v>
      </c>
      <c r="K14" s="192" t="s">
        <v>309</v>
      </c>
      <c r="L14" s="192" t="s">
        <v>156</v>
      </c>
      <c r="M14" s="195">
        <v>400000</v>
      </c>
      <c r="N14" s="196">
        <v>405791</v>
      </c>
      <c r="O14" s="196">
        <v>362559.64</v>
      </c>
      <c r="P14" s="196">
        <v>362559.64</v>
      </c>
      <c r="Q14" s="196">
        <v>362559.64</v>
      </c>
      <c r="R14" s="259"/>
      <c r="S14" s="197">
        <f>'20562'!H9</f>
        <v>405791</v>
      </c>
      <c r="T14" s="198">
        <f>'20562'!H10</f>
        <v>-43231.360000000001</v>
      </c>
      <c r="U14" s="144">
        <v>0</v>
      </c>
      <c r="V14" s="199">
        <v>0</v>
      </c>
      <c r="W14" s="232">
        <f t="shared" si="0"/>
        <v>0</v>
      </c>
      <c r="X14" s="200">
        <v>0</v>
      </c>
      <c r="Y14" s="91" t="s">
        <v>357</v>
      </c>
      <c r="Z14" s="209">
        <f>VLOOKUP(C14,'Summary_by FY'!$C$1:$C$1038,1,FALSE)</f>
        <v>20562</v>
      </c>
    </row>
    <row r="15" spans="1:26" s="90" customFormat="1" collapsed="1" x14ac:dyDescent="0.4">
      <c r="A15" s="93">
        <f t="shared" si="1"/>
        <v>12</v>
      </c>
      <c r="B15" s="285" t="s">
        <v>215</v>
      </c>
      <c r="C15" s="91">
        <v>20563</v>
      </c>
      <c r="D15" s="91">
        <v>4624</v>
      </c>
      <c r="E15" s="91"/>
      <c r="F15" s="91" t="s">
        <v>15</v>
      </c>
      <c r="G15" s="92" t="str">
        <f>VLOOKUP(F15,lookup!B:C,2,FALSE)</f>
        <v>Engineering</v>
      </c>
      <c r="H15" s="91" t="s">
        <v>161</v>
      </c>
      <c r="I15" s="91" t="s">
        <v>266</v>
      </c>
      <c r="J15" s="91" t="s">
        <v>485</v>
      </c>
      <c r="K15" s="91" t="s">
        <v>259</v>
      </c>
      <c r="L15" s="91" t="s">
        <v>149</v>
      </c>
      <c r="M15" s="104">
        <v>386000</v>
      </c>
      <c r="N15" s="105">
        <v>0</v>
      </c>
      <c r="O15" s="105">
        <v>0</v>
      </c>
      <c r="P15" s="105">
        <v>0</v>
      </c>
      <c r="Q15" s="105">
        <v>0</v>
      </c>
      <c r="R15" s="258"/>
      <c r="S15" s="106">
        <v>0</v>
      </c>
      <c r="T15" s="112">
        <v>0</v>
      </c>
      <c r="U15" s="144">
        <v>0</v>
      </c>
      <c r="V15" s="144">
        <v>0</v>
      </c>
      <c r="W15" s="231">
        <f t="shared" si="0"/>
        <v>0</v>
      </c>
      <c r="X15" s="189" t="s">
        <v>215</v>
      </c>
      <c r="Y15" s="91" t="s">
        <v>435</v>
      </c>
      <c r="Z15" s="209">
        <f>VLOOKUP(C15,'Summary_by FY'!$C$1:$C$1038,1,FALSE)</f>
        <v>20563</v>
      </c>
    </row>
    <row r="16" spans="1:26" s="202" customFormat="1" hidden="1" outlineLevel="1" x14ac:dyDescent="0.4">
      <c r="A16" s="191">
        <f t="shared" si="1"/>
        <v>13</v>
      </c>
      <c r="B16" s="286" t="s">
        <v>89</v>
      </c>
      <c r="C16" s="193">
        <v>20566</v>
      </c>
      <c r="D16" s="192">
        <v>20054</v>
      </c>
      <c r="E16" s="192" t="s">
        <v>158</v>
      </c>
      <c r="F16" s="192" t="s">
        <v>10</v>
      </c>
      <c r="G16" s="194" t="str">
        <f>VLOOKUP(F16,lookup!B:C,2,FALSE)</f>
        <v>Arts &amp; Science</v>
      </c>
      <c r="H16" s="192" t="s">
        <v>159</v>
      </c>
      <c r="I16" s="192" t="s">
        <v>184</v>
      </c>
      <c r="J16" s="192" t="s">
        <v>484</v>
      </c>
      <c r="K16" s="192" t="s">
        <v>309</v>
      </c>
      <c r="L16" s="192" t="s">
        <v>149</v>
      </c>
      <c r="M16" s="195">
        <v>781870</v>
      </c>
      <c r="N16" s="196">
        <v>781870</v>
      </c>
      <c r="O16" s="196">
        <v>722586.68</v>
      </c>
      <c r="P16" s="196">
        <v>722586.68</v>
      </c>
      <c r="Q16" s="196">
        <v>722586.68</v>
      </c>
      <c r="R16" s="259"/>
      <c r="S16" s="197">
        <f>'20566'!H9+'20566'!H10</f>
        <v>781870</v>
      </c>
      <c r="T16" s="198">
        <f>'20566'!H11</f>
        <v>-59283.32</v>
      </c>
      <c r="U16" s="144">
        <v>0</v>
      </c>
      <c r="V16" s="199">
        <v>0</v>
      </c>
      <c r="W16" s="232">
        <f t="shared" si="0"/>
        <v>0</v>
      </c>
      <c r="X16" s="200">
        <v>0</v>
      </c>
      <c r="Y16" s="91" t="s">
        <v>345</v>
      </c>
      <c r="Z16" s="209">
        <f>VLOOKUP(C16,'Summary_by FY'!$C$1:$C$1038,1,FALSE)</f>
        <v>20566</v>
      </c>
    </row>
    <row r="17" spans="1:26" s="202" customFormat="1" hidden="1" outlineLevel="1" x14ac:dyDescent="0.4">
      <c r="A17" s="191">
        <f t="shared" si="1"/>
        <v>14</v>
      </c>
      <c r="B17" s="286" t="s">
        <v>89</v>
      </c>
      <c r="C17" s="193">
        <v>20573</v>
      </c>
      <c r="D17" s="192">
        <v>8047</v>
      </c>
      <c r="E17" s="192" t="s">
        <v>236</v>
      </c>
      <c r="F17" s="192" t="s">
        <v>28</v>
      </c>
      <c r="G17" s="194" t="str">
        <f>VLOOKUP(F17,lookup!B:C,2,FALSE)</f>
        <v>Peabody</v>
      </c>
      <c r="H17" s="192" t="s">
        <v>160</v>
      </c>
      <c r="I17" s="192" t="s">
        <v>185</v>
      </c>
      <c r="J17" s="192" t="s">
        <v>484</v>
      </c>
      <c r="K17" s="192" t="s">
        <v>309</v>
      </c>
      <c r="L17" s="192" t="s">
        <v>149</v>
      </c>
      <c r="M17" s="195">
        <v>1232681</v>
      </c>
      <c r="N17" s="196">
        <v>1232681</v>
      </c>
      <c r="O17" s="196">
        <v>1113460</v>
      </c>
      <c r="P17" s="196">
        <v>1113460</v>
      </c>
      <c r="Q17" s="196">
        <v>1113460</v>
      </c>
      <c r="R17" s="259"/>
      <c r="S17" s="197">
        <f>'20573'!H9</f>
        <v>1232681</v>
      </c>
      <c r="T17" s="198">
        <f>'20573'!H10</f>
        <v>-119221</v>
      </c>
      <c r="U17" s="144">
        <v>0</v>
      </c>
      <c r="V17" s="199">
        <v>0</v>
      </c>
      <c r="W17" s="232">
        <f t="shared" si="0"/>
        <v>0</v>
      </c>
      <c r="X17" s="200">
        <v>0</v>
      </c>
      <c r="Y17" s="91" t="s">
        <v>358</v>
      </c>
      <c r="Z17" s="209">
        <f>VLOOKUP(C17,'Summary_by FY'!$C$1:$C$1038,1,FALSE)</f>
        <v>20573</v>
      </c>
    </row>
    <row r="18" spans="1:26" s="202" customFormat="1" hidden="1" outlineLevel="1" x14ac:dyDescent="0.4">
      <c r="A18" s="191">
        <f t="shared" si="1"/>
        <v>15</v>
      </c>
      <c r="B18" s="286" t="s">
        <v>89</v>
      </c>
      <c r="C18" s="193">
        <v>20574</v>
      </c>
      <c r="D18" s="192">
        <v>8145</v>
      </c>
      <c r="E18" s="192" t="s">
        <v>216</v>
      </c>
      <c r="F18" s="192" t="s">
        <v>21</v>
      </c>
      <c r="G18" s="194" t="str">
        <f>VLOOKUP(F18,lookup!B:C,2,FALSE)</f>
        <v>SOM Basic Sciences</v>
      </c>
      <c r="H18" s="192" t="s">
        <v>147</v>
      </c>
      <c r="I18" s="192" t="s">
        <v>186</v>
      </c>
      <c r="J18" s="192" t="s">
        <v>484</v>
      </c>
      <c r="K18" s="192" t="s">
        <v>309</v>
      </c>
      <c r="L18" s="192" t="s">
        <v>156</v>
      </c>
      <c r="M18" s="195">
        <v>218202</v>
      </c>
      <c r="N18" s="196">
        <v>218202</v>
      </c>
      <c r="O18" s="196">
        <v>195665</v>
      </c>
      <c r="P18" s="196">
        <v>195665</v>
      </c>
      <c r="Q18" s="196">
        <v>195665</v>
      </c>
      <c r="R18" s="259"/>
      <c r="S18" s="197">
        <f>'20574'!H9</f>
        <v>218202</v>
      </c>
      <c r="T18" s="198">
        <f>'20574'!H10</f>
        <v>-22537</v>
      </c>
      <c r="U18" s="144">
        <v>0</v>
      </c>
      <c r="V18" s="199">
        <v>0</v>
      </c>
      <c r="W18" s="232">
        <f t="shared" si="0"/>
        <v>0</v>
      </c>
      <c r="X18" s="200">
        <v>0</v>
      </c>
      <c r="Y18" s="91" t="s">
        <v>357</v>
      </c>
      <c r="Z18" s="209">
        <f>VLOOKUP(C18,'Summary_by FY'!$C$1:$C$1038,1,FALSE)</f>
        <v>20574</v>
      </c>
    </row>
    <row r="19" spans="1:26" s="90" customFormat="1" collapsed="1" x14ac:dyDescent="0.4">
      <c r="A19" s="93">
        <f t="shared" si="1"/>
        <v>16</v>
      </c>
      <c r="B19" s="285" t="s">
        <v>89</v>
      </c>
      <c r="C19" s="176">
        <v>20577</v>
      </c>
      <c r="D19" s="91">
        <v>8146</v>
      </c>
      <c r="E19" s="91" t="s">
        <v>165</v>
      </c>
      <c r="F19" s="91" t="s">
        <v>12</v>
      </c>
      <c r="G19" s="92" t="str">
        <f>VLOOKUP(F19,lookup!B:C,2,FALSE)</f>
        <v>Blair</v>
      </c>
      <c r="H19" s="91" t="s">
        <v>150</v>
      </c>
      <c r="I19" s="91" t="s">
        <v>438</v>
      </c>
      <c r="J19" s="91" t="s">
        <v>465</v>
      </c>
      <c r="K19" s="91" t="s">
        <v>101</v>
      </c>
      <c r="L19" s="91" t="s">
        <v>151</v>
      </c>
      <c r="M19" s="104">
        <v>1300000</v>
      </c>
      <c r="N19" s="105">
        <v>1300000</v>
      </c>
      <c r="O19" s="105">
        <v>1092354.21</v>
      </c>
      <c r="P19" s="105">
        <v>1092354.21</v>
      </c>
      <c r="Q19" s="105">
        <v>259050.21</v>
      </c>
      <c r="R19" s="258"/>
      <c r="S19" s="106">
        <f>'20577'!H9+'20577'!H10</f>
        <v>223000</v>
      </c>
      <c r="T19" s="112">
        <v>0</v>
      </c>
      <c r="U19" s="144">
        <f>'20577'!H11</f>
        <v>1077000</v>
      </c>
      <c r="V19" s="144">
        <v>0</v>
      </c>
      <c r="W19" s="231">
        <f t="shared" si="0"/>
        <v>1077000</v>
      </c>
      <c r="X19" s="189">
        <v>2510000</v>
      </c>
      <c r="Y19" s="91" t="s">
        <v>491</v>
      </c>
      <c r="Z19" s="209">
        <f>VLOOKUP(C19,'Summary_by FY'!$C$1:$C$1038,1,FALSE)</f>
        <v>20577</v>
      </c>
    </row>
    <row r="20" spans="1:26" s="202" customFormat="1" hidden="1" outlineLevel="1" x14ac:dyDescent="0.4">
      <c r="A20" s="191">
        <f t="shared" si="1"/>
        <v>17</v>
      </c>
      <c r="B20" s="286" t="s">
        <v>89</v>
      </c>
      <c r="C20" s="193">
        <v>20644</v>
      </c>
      <c r="D20" s="192">
        <v>8241</v>
      </c>
      <c r="E20" s="192" t="s">
        <v>219</v>
      </c>
      <c r="F20" s="192" t="s">
        <v>28</v>
      </c>
      <c r="G20" s="194" t="str">
        <f>VLOOKUP(F20,lookup!B:C,2,FALSE)</f>
        <v>Peabody</v>
      </c>
      <c r="H20" s="192" t="s">
        <v>157</v>
      </c>
      <c r="I20" s="192" t="s">
        <v>276</v>
      </c>
      <c r="J20" s="192" t="s">
        <v>484</v>
      </c>
      <c r="K20" s="192" t="s">
        <v>309</v>
      </c>
      <c r="L20" s="192" t="s">
        <v>149</v>
      </c>
      <c r="M20" s="195">
        <v>630554</v>
      </c>
      <c r="N20" s="196">
        <v>630554</v>
      </c>
      <c r="O20" s="196">
        <v>571789</v>
      </c>
      <c r="P20" s="196">
        <v>571789</v>
      </c>
      <c r="Q20" s="196">
        <v>571789</v>
      </c>
      <c r="R20" s="259"/>
      <c r="S20" s="197">
        <f>'20644'!H9+'20644'!H10</f>
        <v>630554</v>
      </c>
      <c r="T20" s="198">
        <f>'20644'!H11</f>
        <v>-58765</v>
      </c>
      <c r="U20" s="144">
        <v>0</v>
      </c>
      <c r="V20" s="199">
        <v>0</v>
      </c>
      <c r="W20" s="232">
        <f t="shared" si="0"/>
        <v>0</v>
      </c>
      <c r="X20" s="200">
        <v>0</v>
      </c>
      <c r="Y20" s="91" t="s">
        <v>338</v>
      </c>
      <c r="Z20" s="209">
        <f>VLOOKUP(C20,'Summary_by FY'!$C$1:$C$1038,1,FALSE)</f>
        <v>20644</v>
      </c>
    </row>
    <row r="21" spans="1:26" s="202" customFormat="1" hidden="1" outlineLevel="1" x14ac:dyDescent="0.4">
      <c r="A21" s="191">
        <f t="shared" si="1"/>
        <v>18</v>
      </c>
      <c r="B21" s="286" t="s">
        <v>90</v>
      </c>
      <c r="C21" s="193">
        <v>20645</v>
      </c>
      <c r="D21" s="192">
        <v>8239</v>
      </c>
      <c r="E21" s="192"/>
      <c r="F21" s="192" t="s">
        <v>10</v>
      </c>
      <c r="G21" s="194" t="str">
        <f>VLOOKUP(F21,lookup!B:C,2,FALSE)</f>
        <v>Arts &amp; Science</v>
      </c>
      <c r="H21" s="192" t="s">
        <v>148</v>
      </c>
      <c r="I21" s="192" t="s">
        <v>111</v>
      </c>
      <c r="J21" s="192" t="s">
        <v>484</v>
      </c>
      <c r="K21" s="192" t="s">
        <v>309</v>
      </c>
      <c r="L21" s="192" t="s">
        <v>149</v>
      </c>
      <c r="M21" s="195">
        <v>125875</v>
      </c>
      <c r="N21" s="196">
        <v>125875</v>
      </c>
      <c r="O21" s="196">
        <v>114350</v>
      </c>
      <c r="P21" s="196">
        <v>114350</v>
      </c>
      <c r="Q21" s="196">
        <v>114350</v>
      </c>
      <c r="R21" s="259"/>
      <c r="S21" s="197">
        <f>'20645'!H9</f>
        <v>125875</v>
      </c>
      <c r="T21" s="198">
        <f>'20645'!H10</f>
        <v>-11525</v>
      </c>
      <c r="U21" s="144">
        <v>0</v>
      </c>
      <c r="V21" s="199">
        <v>0</v>
      </c>
      <c r="W21" s="232">
        <f t="shared" si="0"/>
        <v>0</v>
      </c>
      <c r="X21" s="200">
        <v>0</v>
      </c>
      <c r="Y21" s="91" t="s">
        <v>377</v>
      </c>
      <c r="Z21" s="209">
        <f>VLOOKUP(C21,'Summary_by FY'!$C$1:$C$1038,1,FALSE)</f>
        <v>20645</v>
      </c>
    </row>
    <row r="22" spans="1:26" s="90" customFormat="1" collapsed="1" x14ac:dyDescent="0.4">
      <c r="A22" s="93">
        <f t="shared" si="1"/>
        <v>19</v>
      </c>
      <c r="B22" s="285" t="s">
        <v>89</v>
      </c>
      <c r="C22" s="176">
        <v>20667</v>
      </c>
      <c r="D22" s="91">
        <v>8168</v>
      </c>
      <c r="E22" s="91" t="s">
        <v>173</v>
      </c>
      <c r="F22" s="91" t="s">
        <v>15</v>
      </c>
      <c r="G22" s="92" t="str">
        <f>VLOOKUP(F22,lookup!B:C,2,FALSE)</f>
        <v>Engineering</v>
      </c>
      <c r="H22" s="91" t="s">
        <v>163</v>
      </c>
      <c r="I22" s="91" t="s">
        <v>164</v>
      </c>
      <c r="J22" s="91" t="s">
        <v>465</v>
      </c>
      <c r="K22" s="91" t="s">
        <v>178</v>
      </c>
      <c r="L22" s="91" t="s">
        <v>156</v>
      </c>
      <c r="M22" s="104">
        <v>1550000</v>
      </c>
      <c r="N22" s="105">
        <v>1545360</v>
      </c>
      <c r="O22" s="105">
        <v>1355049</v>
      </c>
      <c r="P22" s="105">
        <v>1355049</v>
      </c>
      <c r="Q22" s="105">
        <v>119500</v>
      </c>
      <c r="R22" s="258"/>
      <c r="S22" s="106">
        <f>'20667'!H9+'20667'!H10</f>
        <v>146500</v>
      </c>
      <c r="T22" s="112">
        <v>0</v>
      </c>
      <c r="U22" s="144">
        <f>'20667'!H11</f>
        <v>1398860</v>
      </c>
      <c r="V22" s="144">
        <v>0</v>
      </c>
      <c r="W22" s="231">
        <f t="shared" si="0"/>
        <v>1398860</v>
      </c>
      <c r="X22" s="189">
        <v>0</v>
      </c>
      <c r="Y22" s="91" t="s">
        <v>492</v>
      </c>
      <c r="Z22" s="209">
        <f>VLOOKUP(C22,'Summary_by FY'!$C$1:$C$1038,1,FALSE)</f>
        <v>20667</v>
      </c>
    </row>
    <row r="23" spans="1:26" s="90" customFormat="1" x14ac:dyDescent="0.4">
      <c r="A23" s="93">
        <f t="shared" si="1"/>
        <v>20</v>
      </c>
      <c r="B23" s="285" t="s">
        <v>89</v>
      </c>
      <c r="C23" s="176">
        <v>20668</v>
      </c>
      <c r="D23" s="91">
        <v>8151</v>
      </c>
      <c r="E23" s="91" t="s">
        <v>188</v>
      </c>
      <c r="F23" s="91" t="s">
        <v>15</v>
      </c>
      <c r="G23" s="92" t="str">
        <f>VLOOKUP(F23,lookup!B:C,2,FALSE)</f>
        <v>Engineering</v>
      </c>
      <c r="H23" s="91" t="s">
        <v>161</v>
      </c>
      <c r="I23" s="91" t="s">
        <v>162</v>
      </c>
      <c r="J23" s="91" t="s">
        <v>465</v>
      </c>
      <c r="K23" s="91" t="s">
        <v>100</v>
      </c>
      <c r="L23" s="91" t="s">
        <v>156</v>
      </c>
      <c r="M23" s="104">
        <v>0</v>
      </c>
      <c r="N23" s="105">
        <v>231433</v>
      </c>
      <c r="O23" s="105">
        <v>231433</v>
      </c>
      <c r="P23" s="105">
        <v>231433</v>
      </c>
      <c r="Q23" s="105">
        <v>116143</v>
      </c>
      <c r="R23" s="258"/>
      <c r="S23" s="106">
        <f>'20668'!H9+'20668'!H10</f>
        <v>206500</v>
      </c>
      <c r="T23" s="112">
        <f>'20668'!H11</f>
        <v>24933</v>
      </c>
      <c r="U23" s="144">
        <v>0</v>
      </c>
      <c r="V23" s="144">
        <v>0</v>
      </c>
      <c r="W23" s="231">
        <f t="shared" si="0"/>
        <v>0</v>
      </c>
      <c r="X23" s="189" t="s">
        <v>215</v>
      </c>
      <c r="Y23" s="91" t="s">
        <v>493</v>
      </c>
      <c r="Z23" s="209">
        <f>VLOOKUP(C23,'Summary_by FY'!$C$1:$C$1038,1,FALSE)</f>
        <v>20668</v>
      </c>
    </row>
    <row r="24" spans="1:26" s="90" customFormat="1" x14ac:dyDescent="0.4">
      <c r="A24" s="93">
        <f t="shared" si="1"/>
        <v>21</v>
      </c>
      <c r="B24" s="285" t="s">
        <v>89</v>
      </c>
      <c r="C24" s="176">
        <v>20698</v>
      </c>
      <c r="D24" s="91">
        <v>1138</v>
      </c>
      <c r="E24" s="91" t="s">
        <v>212</v>
      </c>
      <c r="F24" s="91" t="s">
        <v>10</v>
      </c>
      <c r="G24" s="92" t="str">
        <f>VLOOKUP(F24,lookup!B:C,2,FALSE)</f>
        <v>Arts &amp; Science</v>
      </c>
      <c r="H24" s="91" t="s">
        <v>205</v>
      </c>
      <c r="I24" s="91" t="s">
        <v>217</v>
      </c>
      <c r="J24" s="91" t="s">
        <v>465</v>
      </c>
      <c r="K24" s="91" t="s">
        <v>261</v>
      </c>
      <c r="L24" s="91" t="s">
        <v>156</v>
      </c>
      <c r="M24" s="104">
        <v>680000</v>
      </c>
      <c r="N24" s="105">
        <v>678513</v>
      </c>
      <c r="O24" s="105">
        <v>586776.36</v>
      </c>
      <c r="P24" s="105">
        <v>586776.36</v>
      </c>
      <c r="Q24" s="105">
        <v>586776.36</v>
      </c>
      <c r="R24" s="258">
        <v>91736.639999999999</v>
      </c>
      <c r="S24" s="106">
        <f>'20698'!H9+'20698'!H10+'20698'!H11</f>
        <v>29250</v>
      </c>
      <c r="T24" s="112">
        <f>'20698'!H12</f>
        <v>649263</v>
      </c>
      <c r="U24" s="144">
        <v>0</v>
      </c>
      <c r="V24" s="144">
        <v>0</v>
      </c>
      <c r="W24" s="231">
        <f t="shared" si="0"/>
        <v>0</v>
      </c>
      <c r="X24" s="189">
        <v>0</v>
      </c>
      <c r="Y24" s="91" t="s">
        <v>451</v>
      </c>
      <c r="Z24" s="209">
        <f>VLOOKUP(C24,'Summary_by FY'!$C$1:$C$1038,1,FALSE)</f>
        <v>20698</v>
      </c>
    </row>
    <row r="25" spans="1:26" s="202" customFormat="1" hidden="1" outlineLevel="1" x14ac:dyDescent="0.4">
      <c r="A25" s="191">
        <f t="shared" si="1"/>
        <v>22</v>
      </c>
      <c r="B25" s="286" t="s">
        <v>90</v>
      </c>
      <c r="C25" s="193">
        <v>20700</v>
      </c>
      <c r="D25" s="192">
        <v>851</v>
      </c>
      <c r="E25" s="192"/>
      <c r="F25" s="192" t="s">
        <v>10</v>
      </c>
      <c r="G25" s="194" t="str">
        <f>VLOOKUP(F25,lookup!B:C,2,FALSE)</f>
        <v>Arts &amp; Science</v>
      </c>
      <c r="H25" s="192" t="s">
        <v>159</v>
      </c>
      <c r="I25" s="192" t="s">
        <v>336</v>
      </c>
      <c r="J25" s="192" t="s">
        <v>484</v>
      </c>
      <c r="K25" s="192" t="s">
        <v>309</v>
      </c>
      <c r="L25" s="192" t="s">
        <v>156</v>
      </c>
      <c r="M25" s="195">
        <v>80000</v>
      </c>
      <c r="N25" s="196">
        <v>85577</v>
      </c>
      <c r="O25" s="196">
        <v>85576.77</v>
      </c>
      <c r="P25" s="196">
        <v>85576.77</v>
      </c>
      <c r="Q25" s="196">
        <v>85576.77</v>
      </c>
      <c r="R25" s="259"/>
      <c r="S25" s="197">
        <f>'20700'!H9+'20700'!H10</f>
        <v>79623</v>
      </c>
      <c r="T25" s="198">
        <f>'20700'!H11</f>
        <v>5954</v>
      </c>
      <c r="U25" s="144">
        <v>0</v>
      </c>
      <c r="V25" s="199">
        <v>0</v>
      </c>
      <c r="W25" s="232">
        <f t="shared" si="0"/>
        <v>0</v>
      </c>
      <c r="X25" s="200">
        <v>0</v>
      </c>
      <c r="Y25" s="91" t="s">
        <v>346</v>
      </c>
      <c r="Z25" s="209">
        <f>VLOOKUP(C25,'Summary_by FY'!$C$1:$C$1038,1,FALSE)</f>
        <v>20700</v>
      </c>
    </row>
    <row r="26" spans="1:26" s="90" customFormat="1" collapsed="1" x14ac:dyDescent="0.4">
      <c r="A26" s="93">
        <f t="shared" si="1"/>
        <v>23</v>
      </c>
      <c r="B26" s="285" t="s">
        <v>89</v>
      </c>
      <c r="C26" s="176">
        <v>20701</v>
      </c>
      <c r="D26" s="91">
        <v>4399</v>
      </c>
      <c r="E26" s="91" t="s">
        <v>265</v>
      </c>
      <c r="F26" s="91" t="s">
        <v>10</v>
      </c>
      <c r="G26" s="92" t="str">
        <f>VLOOKUP(F26,lookup!B:C,2,FALSE)</f>
        <v>Arts &amp; Science</v>
      </c>
      <c r="H26" s="91" t="s">
        <v>206</v>
      </c>
      <c r="I26" s="91" t="s">
        <v>337</v>
      </c>
      <c r="J26" s="91" t="s">
        <v>465</v>
      </c>
      <c r="K26" s="91" t="s">
        <v>101</v>
      </c>
      <c r="L26" s="91" t="s">
        <v>156</v>
      </c>
      <c r="M26" s="104">
        <v>500000</v>
      </c>
      <c r="N26" s="105">
        <v>499093</v>
      </c>
      <c r="O26" s="105">
        <v>419024.05</v>
      </c>
      <c r="P26" s="105">
        <v>419024.05</v>
      </c>
      <c r="Q26" s="105">
        <v>247130</v>
      </c>
      <c r="R26" s="258"/>
      <c r="S26" s="106">
        <f>'20701'!H9</f>
        <v>499093</v>
      </c>
      <c r="T26" s="112">
        <v>0</v>
      </c>
      <c r="U26" s="144">
        <v>0</v>
      </c>
      <c r="V26" s="144">
        <v>0</v>
      </c>
      <c r="W26" s="231">
        <f t="shared" si="0"/>
        <v>0</v>
      </c>
      <c r="X26" s="189">
        <v>0</v>
      </c>
      <c r="Y26" s="91" t="s">
        <v>494</v>
      </c>
      <c r="Z26" s="209">
        <f>VLOOKUP(C26,'Summary_by FY'!$C$1:$C$1038,1,FALSE)</f>
        <v>20701</v>
      </c>
    </row>
    <row r="27" spans="1:26" s="202" customFormat="1" hidden="1" outlineLevel="1" x14ac:dyDescent="0.4">
      <c r="A27" s="191">
        <f t="shared" si="1"/>
        <v>24</v>
      </c>
      <c r="B27" s="286" t="s">
        <v>89</v>
      </c>
      <c r="C27" s="193">
        <v>20702</v>
      </c>
      <c r="D27" s="192">
        <v>8432</v>
      </c>
      <c r="E27" s="192" t="s">
        <v>210</v>
      </c>
      <c r="F27" s="192" t="s">
        <v>28</v>
      </c>
      <c r="G27" s="194" t="str">
        <f>VLOOKUP(F27,lookup!B:C,2,FALSE)</f>
        <v>Peabody</v>
      </c>
      <c r="H27" s="192" t="s">
        <v>160</v>
      </c>
      <c r="I27" s="192" t="s">
        <v>211</v>
      </c>
      <c r="J27" s="192" t="s">
        <v>484</v>
      </c>
      <c r="K27" s="192" t="s">
        <v>309</v>
      </c>
      <c r="L27" s="192" t="s">
        <v>149</v>
      </c>
      <c r="M27" s="195">
        <v>225791</v>
      </c>
      <c r="N27" s="196">
        <v>239341</v>
      </c>
      <c r="O27" s="196">
        <v>209419</v>
      </c>
      <c r="P27" s="196">
        <v>209419</v>
      </c>
      <c r="Q27" s="196">
        <v>209419</v>
      </c>
      <c r="R27" s="259"/>
      <c r="S27" s="197">
        <f>'20702'!H9+'20702'!H10</f>
        <v>239341</v>
      </c>
      <c r="T27" s="198">
        <f>'20702'!H11</f>
        <v>-29922</v>
      </c>
      <c r="U27" s="144">
        <v>0</v>
      </c>
      <c r="V27" s="199">
        <v>0</v>
      </c>
      <c r="W27" s="232">
        <f t="shared" si="0"/>
        <v>0</v>
      </c>
      <c r="X27" s="200">
        <v>0</v>
      </c>
      <c r="Y27" s="91" t="s">
        <v>359</v>
      </c>
      <c r="Z27" s="209">
        <f>VLOOKUP(C27,'Summary_by FY'!$C$1:$C$1038,1,FALSE)</f>
        <v>20702</v>
      </c>
    </row>
    <row r="28" spans="1:26" s="202" customFormat="1" hidden="1" outlineLevel="1" x14ac:dyDescent="0.4">
      <c r="A28" s="191">
        <f t="shared" si="1"/>
        <v>25</v>
      </c>
      <c r="B28" s="286" t="s">
        <v>89</v>
      </c>
      <c r="C28" s="193">
        <v>20718</v>
      </c>
      <c r="D28" s="192">
        <v>8608</v>
      </c>
      <c r="E28" s="192" t="s">
        <v>253</v>
      </c>
      <c r="F28" s="192" t="s">
        <v>10</v>
      </c>
      <c r="G28" s="194" t="str">
        <f>VLOOKUP(F28,lookup!B:C,2,FALSE)</f>
        <v>Arts &amp; Science</v>
      </c>
      <c r="H28" s="192" t="s">
        <v>254</v>
      </c>
      <c r="I28" s="192" t="s">
        <v>255</v>
      </c>
      <c r="J28" s="192" t="s">
        <v>484</v>
      </c>
      <c r="K28" s="192" t="s">
        <v>309</v>
      </c>
      <c r="L28" s="192" t="s">
        <v>256</v>
      </c>
      <c r="M28" s="195">
        <v>715000</v>
      </c>
      <c r="N28" s="196">
        <v>715000</v>
      </c>
      <c r="O28" s="196">
        <v>656784.6</v>
      </c>
      <c r="P28" s="196">
        <v>656784.6</v>
      </c>
      <c r="Q28" s="196">
        <v>656576.59</v>
      </c>
      <c r="R28" s="259"/>
      <c r="S28" s="197">
        <f>'20718'!H9</f>
        <v>96166</v>
      </c>
      <c r="T28" s="198">
        <v>0</v>
      </c>
      <c r="U28" s="144">
        <v>0</v>
      </c>
      <c r="V28" s="199">
        <v>0</v>
      </c>
      <c r="W28" s="232">
        <f t="shared" si="0"/>
        <v>0</v>
      </c>
      <c r="X28" s="200">
        <v>0</v>
      </c>
      <c r="Y28" s="91" t="s">
        <v>378</v>
      </c>
      <c r="Z28" s="209">
        <f>VLOOKUP(C28,'Summary_by FY'!$C$1:$C$1038,1,FALSE)</f>
        <v>20718</v>
      </c>
    </row>
    <row r="29" spans="1:26" s="90" customFormat="1" collapsed="1" x14ac:dyDescent="0.4">
      <c r="A29" s="93">
        <f t="shared" si="1"/>
        <v>26</v>
      </c>
      <c r="B29" s="285" t="s">
        <v>89</v>
      </c>
      <c r="C29" s="176">
        <v>20723</v>
      </c>
      <c r="D29" s="91">
        <v>1628</v>
      </c>
      <c r="E29" s="91" t="s">
        <v>247</v>
      </c>
      <c r="F29" s="91" t="s">
        <v>21</v>
      </c>
      <c r="G29" s="92" t="str">
        <f>VLOOKUP(F29,lookup!B:C,2,FALSE)</f>
        <v>SOM Basic Sciences</v>
      </c>
      <c r="H29" s="91" t="s">
        <v>147</v>
      </c>
      <c r="I29" s="91" t="s">
        <v>291</v>
      </c>
      <c r="J29" s="91" t="s">
        <v>465</v>
      </c>
      <c r="K29" s="91" t="s">
        <v>178</v>
      </c>
      <c r="L29" s="91" t="s">
        <v>318</v>
      </c>
      <c r="M29" s="104">
        <v>1610000</v>
      </c>
      <c r="N29" s="105">
        <v>1700000</v>
      </c>
      <c r="O29" s="105">
        <v>511232.52</v>
      </c>
      <c r="P29" s="105">
        <v>1521240.72</v>
      </c>
      <c r="Q29" s="105">
        <v>138595.01999999999</v>
      </c>
      <c r="R29" s="258"/>
      <c r="S29" s="106">
        <f>'20723'!H9+'20723'!H10</f>
        <v>160500</v>
      </c>
      <c r="T29" s="112">
        <v>0</v>
      </c>
      <c r="U29" s="144">
        <f>'20723'!H11</f>
        <v>1539500</v>
      </c>
      <c r="V29" s="144">
        <v>0</v>
      </c>
      <c r="W29" s="231">
        <f t="shared" si="0"/>
        <v>1539500</v>
      </c>
      <c r="X29" s="189">
        <v>0</v>
      </c>
      <c r="Y29" s="91" t="s">
        <v>495</v>
      </c>
      <c r="Z29" s="209">
        <f>VLOOKUP(C29,'Summary_by FY'!$C$1:$C$1038,1,FALSE)</f>
        <v>20723</v>
      </c>
    </row>
    <row r="30" spans="1:26" s="90" customFormat="1" x14ac:dyDescent="0.4">
      <c r="A30" s="93">
        <f t="shared" si="1"/>
        <v>27</v>
      </c>
      <c r="B30" s="285" t="s">
        <v>89</v>
      </c>
      <c r="C30" s="176">
        <v>20724</v>
      </c>
      <c r="D30" s="91">
        <v>8557</v>
      </c>
      <c r="E30" s="91" t="s">
        <v>229</v>
      </c>
      <c r="F30" s="91" t="s">
        <v>12</v>
      </c>
      <c r="G30" s="92" t="str">
        <f>VLOOKUP(F30,lookup!B:C,2,FALSE)</f>
        <v>Blair</v>
      </c>
      <c r="H30" s="91" t="s">
        <v>150</v>
      </c>
      <c r="I30" s="91" t="s">
        <v>391</v>
      </c>
      <c r="J30" s="91" t="s">
        <v>465</v>
      </c>
      <c r="K30" s="91" t="s">
        <v>290</v>
      </c>
      <c r="L30" s="91" t="s">
        <v>151</v>
      </c>
      <c r="M30" s="104">
        <v>1987500</v>
      </c>
      <c r="N30" s="105">
        <v>1987500</v>
      </c>
      <c r="O30" s="105">
        <v>1819618.65</v>
      </c>
      <c r="P30" s="105">
        <v>1819618.65</v>
      </c>
      <c r="Q30" s="105">
        <v>1785460.4</v>
      </c>
      <c r="R30" s="258">
        <v>185068.1</v>
      </c>
      <c r="S30" s="106">
        <f>'20724'!H9</f>
        <v>23400</v>
      </c>
      <c r="T30" s="112">
        <f>'20724'!H10</f>
        <v>1964100</v>
      </c>
      <c r="U30" s="144">
        <v>0</v>
      </c>
      <c r="V30" s="144">
        <v>0</v>
      </c>
      <c r="W30" s="231">
        <f t="shared" si="0"/>
        <v>0</v>
      </c>
      <c r="X30" s="189">
        <v>0</v>
      </c>
      <c r="Y30" s="91" t="s">
        <v>496</v>
      </c>
      <c r="Z30" s="209">
        <f>VLOOKUP(C30,'Summary_by FY'!$C$1:$C$1038,1,FALSE)</f>
        <v>20724</v>
      </c>
    </row>
    <row r="31" spans="1:26" s="202" customFormat="1" hidden="1" outlineLevel="1" x14ac:dyDescent="0.4">
      <c r="A31" s="191">
        <f t="shared" si="1"/>
        <v>28</v>
      </c>
      <c r="B31" s="286" t="s">
        <v>90</v>
      </c>
      <c r="C31" s="193">
        <v>20735</v>
      </c>
      <c r="D31" s="192">
        <v>8226</v>
      </c>
      <c r="E31" s="192"/>
      <c r="F31" s="192" t="s">
        <v>26</v>
      </c>
      <c r="G31" s="194" t="str">
        <f>VLOOKUP(F31,lookup!B:C,2,FALSE)</f>
        <v>Owen</v>
      </c>
      <c r="H31" s="192" t="s">
        <v>240</v>
      </c>
      <c r="I31" s="192" t="s">
        <v>251</v>
      </c>
      <c r="J31" s="192" t="s">
        <v>484</v>
      </c>
      <c r="K31" s="192" t="s">
        <v>309</v>
      </c>
      <c r="L31" s="192" t="s">
        <v>149</v>
      </c>
      <c r="M31" s="195">
        <v>300000</v>
      </c>
      <c r="N31" s="196">
        <v>300000</v>
      </c>
      <c r="O31" s="196">
        <v>276500</v>
      </c>
      <c r="P31" s="196">
        <v>276500</v>
      </c>
      <c r="Q31" s="196">
        <v>276500</v>
      </c>
      <c r="R31" s="259">
        <v>0</v>
      </c>
      <c r="S31" s="197">
        <f>'20735'!H9</f>
        <v>300000</v>
      </c>
      <c r="T31" s="198">
        <f>'20735'!H10</f>
        <v>-23500</v>
      </c>
      <c r="U31" s="199">
        <v>0</v>
      </c>
      <c r="V31" s="199">
        <v>0</v>
      </c>
      <c r="W31" s="232">
        <f t="shared" si="0"/>
        <v>0</v>
      </c>
      <c r="X31" s="200">
        <v>0</v>
      </c>
      <c r="Y31" s="91" t="s">
        <v>452</v>
      </c>
      <c r="Z31" s="209">
        <f>VLOOKUP(C31,'Summary_by FY'!$C$1:$C$1038,1,FALSE)</f>
        <v>20735</v>
      </c>
    </row>
    <row r="32" spans="1:26" s="90" customFormat="1" collapsed="1" x14ac:dyDescent="0.4">
      <c r="A32" s="93">
        <f t="shared" si="1"/>
        <v>29</v>
      </c>
      <c r="B32" s="285" t="s">
        <v>89</v>
      </c>
      <c r="C32" s="177">
        <v>20767</v>
      </c>
      <c r="D32" s="91">
        <v>8673</v>
      </c>
      <c r="E32" s="91" t="s">
        <v>383</v>
      </c>
      <c r="F32" s="91" t="s">
        <v>28</v>
      </c>
      <c r="G32" s="92" t="str">
        <f>VLOOKUP(F32,lookup!B:C,2,FALSE)</f>
        <v>Peabody</v>
      </c>
      <c r="H32" s="91" t="s">
        <v>257</v>
      </c>
      <c r="I32" s="91" t="s">
        <v>258</v>
      </c>
      <c r="J32" s="91" t="s">
        <v>465</v>
      </c>
      <c r="K32" s="91" t="s">
        <v>290</v>
      </c>
      <c r="L32" s="91" t="s">
        <v>318</v>
      </c>
      <c r="M32" s="104">
        <v>149000</v>
      </c>
      <c r="N32" s="105">
        <v>148299</v>
      </c>
      <c r="O32" s="105">
        <v>125699</v>
      </c>
      <c r="P32" s="105">
        <v>125699</v>
      </c>
      <c r="Q32" s="105">
        <v>125699</v>
      </c>
      <c r="R32" s="258">
        <v>22600</v>
      </c>
      <c r="S32" s="106">
        <v>0</v>
      </c>
      <c r="T32" s="112">
        <f>'20767'!H9</f>
        <v>148299</v>
      </c>
      <c r="U32" s="144">
        <v>0</v>
      </c>
      <c r="V32" s="144">
        <v>0</v>
      </c>
      <c r="W32" s="231">
        <f t="shared" si="0"/>
        <v>0</v>
      </c>
      <c r="X32" s="189">
        <v>0</v>
      </c>
      <c r="Y32" s="91" t="s">
        <v>497</v>
      </c>
      <c r="Z32" s="209">
        <f>VLOOKUP(C32,'Summary_by FY'!$C$1:$C$1038,1,FALSE)</f>
        <v>20767</v>
      </c>
    </row>
    <row r="33" spans="1:26" s="202" customFormat="1" hidden="1" outlineLevel="1" x14ac:dyDescent="0.4">
      <c r="A33" s="191">
        <f t="shared" si="1"/>
        <v>30</v>
      </c>
      <c r="B33" s="286" t="s">
        <v>90</v>
      </c>
      <c r="C33" s="203">
        <v>20771</v>
      </c>
      <c r="D33" s="192">
        <v>8674</v>
      </c>
      <c r="E33" s="192"/>
      <c r="F33" s="192" t="s">
        <v>10</v>
      </c>
      <c r="G33" s="194" t="str">
        <f>VLOOKUP(F33,lookup!B:C,2,FALSE)</f>
        <v>Arts &amp; Science</v>
      </c>
      <c r="H33" s="192" t="s">
        <v>159</v>
      </c>
      <c r="I33" s="192" t="s">
        <v>260</v>
      </c>
      <c r="J33" s="192" t="s">
        <v>484</v>
      </c>
      <c r="K33" s="192" t="s">
        <v>309</v>
      </c>
      <c r="L33" s="192" t="s">
        <v>156</v>
      </c>
      <c r="M33" s="195">
        <v>25000</v>
      </c>
      <c r="N33" s="196">
        <v>24997</v>
      </c>
      <c r="O33" s="196">
        <v>17972</v>
      </c>
      <c r="P33" s="196">
        <v>17972</v>
      </c>
      <c r="Q33" s="196">
        <v>17972</v>
      </c>
      <c r="R33" s="259"/>
      <c r="S33" s="197">
        <f>'20771'!H9+'20771'!H10</f>
        <v>24997</v>
      </c>
      <c r="T33" s="198">
        <f>'20771'!H11</f>
        <v>-7025</v>
      </c>
      <c r="U33" s="144">
        <v>0</v>
      </c>
      <c r="V33" s="199">
        <v>0</v>
      </c>
      <c r="W33" s="232">
        <f t="shared" si="0"/>
        <v>0</v>
      </c>
      <c r="X33" s="200">
        <v>0</v>
      </c>
      <c r="Y33" s="91" t="s">
        <v>310</v>
      </c>
      <c r="Z33" s="209">
        <f>VLOOKUP(C33,'Summary_by FY'!$C$1:$C$1038,1,FALSE)</f>
        <v>20771</v>
      </c>
    </row>
    <row r="34" spans="1:26" s="90" customFormat="1" collapsed="1" x14ac:dyDescent="0.4">
      <c r="A34" s="93">
        <f t="shared" si="1"/>
        <v>31</v>
      </c>
      <c r="B34" s="285" t="s">
        <v>89</v>
      </c>
      <c r="C34" s="177">
        <v>20772</v>
      </c>
      <c r="D34" s="91">
        <v>8675</v>
      </c>
      <c r="E34" s="91" t="s">
        <v>368</v>
      </c>
      <c r="F34" s="91" t="s">
        <v>26</v>
      </c>
      <c r="G34" s="92" t="str">
        <f>VLOOKUP(F34,lookup!B:C,2,FALSE)</f>
        <v>Owen</v>
      </c>
      <c r="H34" s="91" t="s">
        <v>240</v>
      </c>
      <c r="I34" s="91" t="s">
        <v>343</v>
      </c>
      <c r="J34" s="91" t="s">
        <v>465</v>
      </c>
      <c r="K34" s="91" t="s">
        <v>101</v>
      </c>
      <c r="L34" s="91" t="s">
        <v>149</v>
      </c>
      <c r="M34" s="104">
        <v>3200000</v>
      </c>
      <c r="N34" s="105">
        <v>3200000</v>
      </c>
      <c r="O34" s="105">
        <v>2936840.14</v>
      </c>
      <c r="P34" s="105">
        <v>2936840.14</v>
      </c>
      <c r="Q34" s="105">
        <v>2911828.14</v>
      </c>
      <c r="R34" s="258"/>
      <c r="S34" s="106">
        <v>0</v>
      </c>
      <c r="T34" s="112">
        <f>'20772'!H9</f>
        <v>1600000</v>
      </c>
      <c r="U34" s="144">
        <f>'20772'!H10</f>
        <v>1600000</v>
      </c>
      <c r="V34" s="144">
        <v>0</v>
      </c>
      <c r="W34" s="231">
        <f t="shared" si="0"/>
        <v>1600000</v>
      </c>
      <c r="X34" s="189">
        <v>0</v>
      </c>
      <c r="Y34" s="91" t="s">
        <v>498</v>
      </c>
      <c r="Z34" s="209">
        <f>VLOOKUP(C34,'Summary_by FY'!$C$1:$C$1038,1,FALSE)</f>
        <v>20772</v>
      </c>
    </row>
    <row r="35" spans="1:26" s="202" customFormat="1" hidden="1" outlineLevel="1" x14ac:dyDescent="0.4">
      <c r="A35" s="191">
        <f t="shared" si="1"/>
        <v>32</v>
      </c>
      <c r="B35" s="286" t="s">
        <v>89</v>
      </c>
      <c r="C35" s="203">
        <v>20792</v>
      </c>
      <c r="D35" s="192">
        <v>1035</v>
      </c>
      <c r="E35" s="192" t="s">
        <v>278</v>
      </c>
      <c r="F35" s="192" t="s">
        <v>154</v>
      </c>
      <c r="G35" s="194" t="str">
        <f>VLOOKUP(F35,lookup!B:C,2,FALSE)</f>
        <v>Law</v>
      </c>
      <c r="H35" s="192" t="s">
        <v>272</v>
      </c>
      <c r="I35" s="192" t="s">
        <v>273</v>
      </c>
      <c r="J35" s="192" t="s">
        <v>484</v>
      </c>
      <c r="K35" s="192" t="s">
        <v>309</v>
      </c>
      <c r="L35" s="192" t="s">
        <v>149</v>
      </c>
      <c r="M35" s="195">
        <v>400000</v>
      </c>
      <c r="N35" s="196">
        <v>483440</v>
      </c>
      <c r="O35" s="196">
        <v>450775</v>
      </c>
      <c r="P35" s="196">
        <v>450775</v>
      </c>
      <c r="Q35" s="196">
        <v>450775</v>
      </c>
      <c r="R35" s="259"/>
      <c r="S35" s="197">
        <f>'20792'!H9</f>
        <v>483440</v>
      </c>
      <c r="T35" s="198">
        <f>'20792'!H10</f>
        <v>-32665</v>
      </c>
      <c r="U35" s="144">
        <v>0</v>
      </c>
      <c r="V35" s="199">
        <v>0</v>
      </c>
      <c r="W35" s="231">
        <f t="shared" si="0"/>
        <v>0</v>
      </c>
      <c r="X35" s="200">
        <v>0</v>
      </c>
      <c r="Y35" s="91" t="s">
        <v>360</v>
      </c>
      <c r="Z35" s="209">
        <f>VLOOKUP(C35,'Summary_by FY'!$C$1:$C$1038,1,FALSE)</f>
        <v>20792</v>
      </c>
    </row>
    <row r="36" spans="1:26" s="90" customFormat="1" collapsed="1" x14ac:dyDescent="0.4">
      <c r="A36" s="93">
        <f t="shared" si="1"/>
        <v>33</v>
      </c>
      <c r="B36" s="285" t="s">
        <v>89</v>
      </c>
      <c r="C36" s="177">
        <v>20811</v>
      </c>
      <c r="D36" s="91"/>
      <c r="E36" s="91" t="s">
        <v>388</v>
      </c>
      <c r="F36" s="91" t="s">
        <v>28</v>
      </c>
      <c r="G36" s="92" t="str">
        <f>VLOOKUP(F36,lookup!B:C,2,FALSE)</f>
        <v>Peabody</v>
      </c>
      <c r="H36" s="91" t="s">
        <v>331</v>
      </c>
      <c r="I36" s="91" t="s">
        <v>385</v>
      </c>
      <c r="J36" s="91" t="s">
        <v>465</v>
      </c>
      <c r="K36" s="91" t="s">
        <v>290</v>
      </c>
      <c r="L36" s="91" t="s">
        <v>149</v>
      </c>
      <c r="M36" s="104">
        <v>75000</v>
      </c>
      <c r="N36" s="105">
        <v>285233.27</v>
      </c>
      <c r="O36" s="105">
        <v>253063.19</v>
      </c>
      <c r="P36" s="105">
        <v>253063.19</v>
      </c>
      <c r="Q36" s="105">
        <v>121573.71</v>
      </c>
      <c r="R36" s="258"/>
      <c r="S36" s="106">
        <v>0</v>
      </c>
      <c r="T36" s="112">
        <f>'20811'!H9</f>
        <v>285233.27</v>
      </c>
      <c r="U36" s="144">
        <v>0</v>
      </c>
      <c r="V36" s="144">
        <v>0</v>
      </c>
      <c r="W36" s="231">
        <f t="shared" si="0"/>
        <v>0</v>
      </c>
      <c r="X36" s="189">
        <v>0</v>
      </c>
      <c r="Y36" s="91" t="s">
        <v>499</v>
      </c>
      <c r="Z36" s="209">
        <f>VLOOKUP(C36,'Summary_by FY'!$C$1:$C$1038,1,FALSE)</f>
        <v>20811</v>
      </c>
    </row>
    <row r="37" spans="1:26" s="90" customFormat="1" x14ac:dyDescent="0.4">
      <c r="A37" s="93">
        <f t="shared" si="1"/>
        <v>34</v>
      </c>
      <c r="B37" s="285" t="s">
        <v>89</v>
      </c>
      <c r="C37" s="177">
        <v>20812</v>
      </c>
      <c r="D37" s="91">
        <v>8923</v>
      </c>
      <c r="E37" s="91" t="s">
        <v>446</v>
      </c>
      <c r="F37" s="91" t="s">
        <v>15</v>
      </c>
      <c r="G37" s="92" t="str">
        <f>VLOOKUP(F37,lookup!B:C,2,FALSE)</f>
        <v>Engineering</v>
      </c>
      <c r="H37" s="91" t="s">
        <v>424</v>
      </c>
      <c r="I37" s="91" t="s">
        <v>425</v>
      </c>
      <c r="J37" s="91" t="s">
        <v>465</v>
      </c>
      <c r="K37" s="91" t="s">
        <v>100</v>
      </c>
      <c r="L37" s="91" t="s">
        <v>156</v>
      </c>
      <c r="M37" s="104">
        <v>600000</v>
      </c>
      <c r="N37" s="105">
        <v>38500</v>
      </c>
      <c r="O37" s="105">
        <v>38500</v>
      </c>
      <c r="P37" s="105">
        <v>38500</v>
      </c>
      <c r="Q37" s="105">
        <v>4500</v>
      </c>
      <c r="R37" s="258"/>
      <c r="S37" s="106"/>
      <c r="T37" s="112"/>
      <c r="U37" s="144">
        <f>'20812'!H9+'20812'!H10</f>
        <v>38500</v>
      </c>
      <c r="V37" s="144">
        <f>600000-U37</f>
        <v>561500</v>
      </c>
      <c r="W37" s="231">
        <f t="shared" si="0"/>
        <v>600000</v>
      </c>
      <c r="X37" s="189"/>
      <c r="Y37" s="91" t="s">
        <v>500</v>
      </c>
      <c r="Z37" s="209">
        <f>VLOOKUP(C37,'Summary_by FY'!$C$1:$C$1038,1,FALSE)</f>
        <v>20812</v>
      </c>
    </row>
    <row r="38" spans="1:26" s="202" customFormat="1" hidden="1" outlineLevel="1" x14ac:dyDescent="0.4">
      <c r="A38" s="191">
        <f t="shared" si="1"/>
        <v>35</v>
      </c>
      <c r="B38" s="286" t="s">
        <v>90</v>
      </c>
      <c r="C38" s="203">
        <v>20831</v>
      </c>
      <c r="D38" s="192">
        <v>8230</v>
      </c>
      <c r="E38" s="192"/>
      <c r="F38" s="192" t="s">
        <v>10</v>
      </c>
      <c r="G38" s="194" t="str">
        <f>VLOOKUP(F38,lookup!B:C,2,FALSE)</f>
        <v>Arts &amp; Science</v>
      </c>
      <c r="H38" s="192" t="s">
        <v>315</v>
      </c>
      <c r="I38" s="192" t="s">
        <v>316</v>
      </c>
      <c r="J38" s="192" t="s">
        <v>484</v>
      </c>
      <c r="K38" s="192" t="s">
        <v>309</v>
      </c>
      <c r="L38" s="192" t="s">
        <v>156</v>
      </c>
      <c r="M38" s="195">
        <v>24000</v>
      </c>
      <c r="N38" s="196">
        <v>24000</v>
      </c>
      <c r="O38" s="196">
        <v>24000</v>
      </c>
      <c r="P38" s="196">
        <v>24000</v>
      </c>
      <c r="Q38" s="196">
        <v>24000</v>
      </c>
      <c r="R38" s="259"/>
      <c r="S38" s="197">
        <v>0</v>
      </c>
      <c r="T38" s="198">
        <f>'20831'!H18</f>
        <v>24000</v>
      </c>
      <c r="U38" s="144">
        <v>0</v>
      </c>
      <c r="V38" s="199">
        <v>0</v>
      </c>
      <c r="W38" s="231">
        <f t="shared" si="0"/>
        <v>0</v>
      </c>
      <c r="X38" s="200">
        <v>0</v>
      </c>
      <c r="Y38" s="91" t="s">
        <v>361</v>
      </c>
      <c r="Z38" s="209">
        <f>VLOOKUP(C38,'Summary_by FY'!$C$1:$C$1038,1,FALSE)</f>
        <v>20831</v>
      </c>
    </row>
    <row r="39" spans="1:26" s="202" customFormat="1" hidden="1" outlineLevel="1" x14ac:dyDescent="0.4">
      <c r="A39" s="191">
        <f t="shared" si="1"/>
        <v>36</v>
      </c>
      <c r="B39" s="286" t="s">
        <v>90</v>
      </c>
      <c r="C39" s="203">
        <v>20832</v>
      </c>
      <c r="D39" s="192">
        <v>8220</v>
      </c>
      <c r="E39" s="192"/>
      <c r="F39" s="192" t="s">
        <v>10</v>
      </c>
      <c r="G39" s="194" t="str">
        <f>VLOOKUP(F39,lookup!B:C,2,FALSE)</f>
        <v>Arts &amp; Science</v>
      </c>
      <c r="H39" s="192" t="s">
        <v>205</v>
      </c>
      <c r="I39" s="192" t="s">
        <v>308</v>
      </c>
      <c r="J39" s="192" t="s">
        <v>484</v>
      </c>
      <c r="K39" s="192" t="s">
        <v>309</v>
      </c>
      <c r="L39" s="192" t="s">
        <v>156</v>
      </c>
      <c r="M39" s="195">
        <v>24000</v>
      </c>
      <c r="N39" s="196">
        <v>24000</v>
      </c>
      <c r="O39" s="196">
        <v>24000</v>
      </c>
      <c r="P39" s="196">
        <v>24000</v>
      </c>
      <c r="Q39" s="196">
        <v>24000</v>
      </c>
      <c r="R39" s="259"/>
      <c r="S39" s="197">
        <v>0</v>
      </c>
      <c r="T39" s="198">
        <f>'20832'!H18</f>
        <v>24000</v>
      </c>
      <c r="U39" s="144">
        <v>0</v>
      </c>
      <c r="V39" s="199">
        <v>0</v>
      </c>
      <c r="W39" s="231">
        <f t="shared" si="0"/>
        <v>0</v>
      </c>
      <c r="X39" s="200">
        <v>0</v>
      </c>
      <c r="Y39" s="91" t="s">
        <v>362</v>
      </c>
      <c r="Z39" s="209">
        <f>VLOOKUP(C39,'Summary_by FY'!$C$1:$C$1038,1,FALSE)</f>
        <v>20832</v>
      </c>
    </row>
    <row r="40" spans="1:26" s="202" customFormat="1" hidden="1" outlineLevel="1" x14ac:dyDescent="0.4">
      <c r="A40" s="191">
        <f t="shared" si="1"/>
        <v>37</v>
      </c>
      <c r="B40" s="286" t="s">
        <v>90</v>
      </c>
      <c r="C40" s="203">
        <v>20833</v>
      </c>
      <c r="D40" s="192">
        <v>8215</v>
      </c>
      <c r="E40" s="192"/>
      <c r="F40" s="192" t="s">
        <v>10</v>
      </c>
      <c r="G40" s="194" t="str">
        <f>VLOOKUP(F40,lookup!B:C,2,FALSE)</f>
        <v>Arts &amp; Science</v>
      </c>
      <c r="H40" s="192" t="s">
        <v>206</v>
      </c>
      <c r="I40" s="192" t="s">
        <v>426</v>
      </c>
      <c r="J40" s="192" t="s">
        <v>484</v>
      </c>
      <c r="K40" s="192" t="s">
        <v>309</v>
      </c>
      <c r="L40" s="192" t="s">
        <v>156</v>
      </c>
      <c r="M40" s="195">
        <v>24000</v>
      </c>
      <c r="N40" s="196">
        <v>24000</v>
      </c>
      <c r="O40" s="196">
        <v>24000</v>
      </c>
      <c r="P40" s="196">
        <v>24000</v>
      </c>
      <c r="Q40" s="196">
        <v>24000</v>
      </c>
      <c r="R40" s="259"/>
      <c r="S40" s="197">
        <v>0</v>
      </c>
      <c r="T40" s="198">
        <f>'20833'!H18</f>
        <v>24000</v>
      </c>
      <c r="U40" s="144">
        <v>0</v>
      </c>
      <c r="V40" s="199">
        <v>0</v>
      </c>
      <c r="W40" s="231">
        <f t="shared" si="0"/>
        <v>0</v>
      </c>
      <c r="X40" s="200">
        <v>0</v>
      </c>
      <c r="Y40" s="91" t="s">
        <v>397</v>
      </c>
      <c r="Z40" s="209">
        <f>VLOOKUP(C40,'Summary_by FY'!$C$1:$C$1038,1,FALSE)</f>
        <v>20833</v>
      </c>
    </row>
    <row r="41" spans="1:26" s="202" customFormat="1" hidden="1" outlineLevel="1" x14ac:dyDescent="0.4">
      <c r="A41" s="191">
        <f t="shared" si="1"/>
        <v>38</v>
      </c>
      <c r="B41" s="286" t="s">
        <v>90</v>
      </c>
      <c r="C41" s="192">
        <v>20834</v>
      </c>
      <c r="D41" s="192"/>
      <c r="E41" s="192"/>
      <c r="F41" s="192" t="s">
        <v>28</v>
      </c>
      <c r="G41" s="194" t="str">
        <f>VLOOKUP(F41,lookup!B:C,2,FALSE)</f>
        <v>Peabody</v>
      </c>
      <c r="H41" s="192" t="s">
        <v>160</v>
      </c>
      <c r="I41" s="192" t="s">
        <v>317</v>
      </c>
      <c r="J41" s="192" t="s">
        <v>486</v>
      </c>
      <c r="K41" s="192" t="s">
        <v>309</v>
      </c>
      <c r="L41" s="192" t="s">
        <v>156</v>
      </c>
      <c r="M41" s="195">
        <v>5000</v>
      </c>
      <c r="N41" s="196">
        <v>0</v>
      </c>
      <c r="O41" s="196">
        <v>0</v>
      </c>
      <c r="P41" s="196">
        <v>0</v>
      </c>
      <c r="Q41" s="196">
        <v>0</v>
      </c>
      <c r="R41" s="258"/>
      <c r="S41" s="197">
        <v>0</v>
      </c>
      <c r="T41" s="198">
        <v>0</v>
      </c>
      <c r="U41" s="144">
        <v>0</v>
      </c>
      <c r="V41" s="199">
        <v>0</v>
      </c>
      <c r="W41" s="231">
        <f t="shared" si="0"/>
        <v>0</v>
      </c>
      <c r="X41" s="200">
        <v>0</v>
      </c>
      <c r="Y41" s="91" t="s">
        <v>347</v>
      </c>
      <c r="Z41" s="209" t="e">
        <f>VLOOKUP(C41,'Summary_by FY'!$C$1:$C$1038,1,FALSE)</f>
        <v>#N/A</v>
      </c>
    </row>
    <row r="42" spans="1:26" s="90" customFormat="1" collapsed="1" x14ac:dyDescent="0.4">
      <c r="A42" s="93">
        <f t="shared" si="1"/>
        <v>39</v>
      </c>
      <c r="B42" s="285" t="s">
        <v>89</v>
      </c>
      <c r="C42" s="177">
        <v>20857</v>
      </c>
      <c r="D42" s="91">
        <v>8427</v>
      </c>
      <c r="E42" s="91" t="s">
        <v>332</v>
      </c>
      <c r="F42" s="91" t="s">
        <v>28</v>
      </c>
      <c r="G42" s="92" t="str">
        <f>VLOOKUP(F42,lookup!B:C,2,FALSE)</f>
        <v>Peabody</v>
      </c>
      <c r="H42" s="91" t="s">
        <v>331</v>
      </c>
      <c r="I42" s="91" t="s">
        <v>330</v>
      </c>
      <c r="J42" s="91" t="s">
        <v>465</v>
      </c>
      <c r="K42" s="91" t="s">
        <v>101</v>
      </c>
      <c r="L42" s="91" t="s">
        <v>149</v>
      </c>
      <c r="M42" s="104">
        <v>499184</v>
      </c>
      <c r="N42" s="105">
        <v>499184</v>
      </c>
      <c r="O42" s="105">
        <v>472444.67</v>
      </c>
      <c r="P42" s="105">
        <v>475944.67</v>
      </c>
      <c r="Q42" s="105">
        <v>243906.27</v>
      </c>
      <c r="R42" s="258"/>
      <c r="S42" s="106">
        <v>0</v>
      </c>
      <c r="T42" s="112">
        <f>'20857'!H9+'20857'!H10+'20857'!H11</f>
        <v>499184</v>
      </c>
      <c r="U42" s="144">
        <v>0</v>
      </c>
      <c r="V42" s="144">
        <v>0</v>
      </c>
      <c r="W42" s="231">
        <f t="shared" si="0"/>
        <v>0</v>
      </c>
      <c r="X42" s="189">
        <v>0</v>
      </c>
      <c r="Y42" s="91" t="s">
        <v>501</v>
      </c>
      <c r="Z42" s="209">
        <f>VLOOKUP(C42,'Summary_by FY'!$C$1:$C$1038,1,FALSE)</f>
        <v>20857</v>
      </c>
    </row>
    <row r="43" spans="1:26" s="202" customFormat="1" x14ac:dyDescent="0.4">
      <c r="A43" s="191">
        <f t="shared" si="1"/>
        <v>40</v>
      </c>
      <c r="B43" s="285" t="s">
        <v>89</v>
      </c>
      <c r="C43" s="177">
        <v>20884</v>
      </c>
      <c r="D43" s="91"/>
      <c r="E43" s="91" t="s">
        <v>395</v>
      </c>
      <c r="F43" s="91" t="s">
        <v>154</v>
      </c>
      <c r="G43" s="92" t="str">
        <f>VLOOKUP(F43,lookup!B:C,2,FALSE)</f>
        <v>Law</v>
      </c>
      <c r="H43" s="91" t="s">
        <v>272</v>
      </c>
      <c r="I43" s="91" t="s">
        <v>342</v>
      </c>
      <c r="J43" s="91" t="s">
        <v>465</v>
      </c>
      <c r="K43" s="91" t="s">
        <v>261</v>
      </c>
      <c r="L43" s="91" t="s">
        <v>149</v>
      </c>
      <c r="M43" s="104">
        <v>675650</v>
      </c>
      <c r="N43" s="105">
        <v>675650</v>
      </c>
      <c r="O43" s="105">
        <v>480318</v>
      </c>
      <c r="P43" s="105">
        <v>480318</v>
      </c>
      <c r="Q43" s="105">
        <v>480318</v>
      </c>
      <c r="R43" s="258">
        <v>124367</v>
      </c>
      <c r="S43" s="106">
        <v>0</v>
      </c>
      <c r="T43" s="112">
        <f>'20884'!H9</f>
        <v>675650</v>
      </c>
      <c r="U43" s="144">
        <v>0</v>
      </c>
      <c r="V43" s="144">
        <v>0</v>
      </c>
      <c r="W43" s="231">
        <f t="shared" si="0"/>
        <v>0</v>
      </c>
      <c r="X43" s="189">
        <v>0</v>
      </c>
      <c r="Y43" s="91" t="s">
        <v>453</v>
      </c>
      <c r="Z43" s="209">
        <f>VLOOKUP(C43,'Summary_by FY'!$C$1:$C$1038,1,FALSE)</f>
        <v>20884</v>
      </c>
    </row>
    <row r="44" spans="1:26" s="90" customFormat="1" x14ac:dyDescent="0.4">
      <c r="A44" s="93">
        <f t="shared" si="1"/>
        <v>41</v>
      </c>
      <c r="B44" s="285" t="s">
        <v>90</v>
      </c>
      <c r="C44" s="177">
        <v>20885</v>
      </c>
      <c r="D44" s="91">
        <v>8676</v>
      </c>
      <c r="E44" s="91"/>
      <c r="F44" s="91" t="s">
        <v>10</v>
      </c>
      <c r="G44" s="92" t="str">
        <f>VLOOKUP(F44,lookup!B:C,2,FALSE)</f>
        <v>Arts &amp; Science</v>
      </c>
      <c r="H44" s="91" t="s">
        <v>344</v>
      </c>
      <c r="I44" s="91" t="s">
        <v>348</v>
      </c>
      <c r="J44" s="91" t="s">
        <v>465</v>
      </c>
      <c r="K44" s="91" t="s">
        <v>101</v>
      </c>
      <c r="L44" s="91" t="s">
        <v>156</v>
      </c>
      <c r="M44" s="104">
        <v>99000</v>
      </c>
      <c r="N44" s="105">
        <v>143053.4</v>
      </c>
      <c r="O44" s="105">
        <v>121224.26</v>
      </c>
      <c r="P44" s="105">
        <v>121224.26</v>
      </c>
      <c r="Q44" s="105">
        <v>97943.4</v>
      </c>
      <c r="R44" s="258"/>
      <c r="S44" s="106">
        <v>0</v>
      </c>
      <c r="T44" s="112">
        <f>'20885'!H9+'20885'!H10</f>
        <v>113053.4</v>
      </c>
      <c r="U44" s="144">
        <f>'20885'!H11</f>
        <v>30000</v>
      </c>
      <c r="V44" s="144">
        <v>0</v>
      </c>
      <c r="W44" s="231">
        <f t="shared" si="0"/>
        <v>30000</v>
      </c>
      <c r="X44" s="189">
        <v>0</v>
      </c>
      <c r="Y44" s="91" t="s">
        <v>502</v>
      </c>
      <c r="Z44" s="209">
        <f>VLOOKUP(C44,'Summary_by FY'!$C$1:$C$1038,1,FALSE)</f>
        <v>20885</v>
      </c>
    </row>
    <row r="45" spans="1:26" s="90" customFormat="1" x14ac:dyDescent="0.4">
      <c r="A45" s="93">
        <f t="shared" si="1"/>
        <v>42</v>
      </c>
      <c r="B45" s="285" t="s">
        <v>90</v>
      </c>
      <c r="C45" s="177">
        <v>20911</v>
      </c>
      <c r="D45" s="91">
        <v>8819</v>
      </c>
      <c r="E45" s="91"/>
      <c r="F45" s="91" t="s">
        <v>10</v>
      </c>
      <c r="G45" s="92" t="str">
        <f>VLOOKUP(F45,lookup!B:C,2,FALSE)</f>
        <v>Arts &amp; Science</v>
      </c>
      <c r="H45" s="91" t="s">
        <v>254</v>
      </c>
      <c r="I45" s="91" t="s">
        <v>353</v>
      </c>
      <c r="J45" s="91" t="s">
        <v>465</v>
      </c>
      <c r="K45" s="91" t="s">
        <v>290</v>
      </c>
      <c r="L45" s="91" t="s">
        <v>149</v>
      </c>
      <c r="M45" s="104">
        <v>61045</v>
      </c>
      <c r="N45" s="105">
        <v>61045</v>
      </c>
      <c r="O45" s="105">
        <v>54613</v>
      </c>
      <c r="P45" s="105">
        <v>54613</v>
      </c>
      <c r="Q45" s="105">
        <v>54613</v>
      </c>
      <c r="R45" s="258">
        <v>6432</v>
      </c>
      <c r="S45" s="106">
        <v>0</v>
      </c>
      <c r="T45" s="112">
        <f>'20911'!H9+'20911'!H10</f>
        <v>61045</v>
      </c>
      <c r="U45" s="144">
        <v>0</v>
      </c>
      <c r="V45" s="144">
        <v>0</v>
      </c>
      <c r="W45" s="231">
        <f t="shared" si="0"/>
        <v>0</v>
      </c>
      <c r="X45" s="189">
        <v>0</v>
      </c>
      <c r="Y45" s="91" t="s">
        <v>503</v>
      </c>
      <c r="Z45" s="209">
        <f>VLOOKUP(C45,'Summary_by FY'!$C$1:$C$1038,1,FALSE)</f>
        <v>20911</v>
      </c>
    </row>
    <row r="46" spans="1:26" s="90" customFormat="1" x14ac:dyDescent="0.4">
      <c r="A46" s="93">
        <f t="shared" si="1"/>
        <v>43</v>
      </c>
      <c r="B46" s="285" t="s">
        <v>90</v>
      </c>
      <c r="C46" s="177">
        <v>20912</v>
      </c>
      <c r="D46" s="91">
        <v>8822</v>
      </c>
      <c r="E46" s="91"/>
      <c r="F46" s="91" t="s">
        <v>10</v>
      </c>
      <c r="G46" s="92" t="str">
        <f>VLOOKUP(F46,lookup!B:C,2,FALSE)</f>
        <v>Arts &amp; Science</v>
      </c>
      <c r="H46" s="91" t="s">
        <v>148</v>
      </c>
      <c r="I46" s="91" t="s">
        <v>354</v>
      </c>
      <c r="J46" s="91" t="s">
        <v>465</v>
      </c>
      <c r="K46" s="91" t="s">
        <v>290</v>
      </c>
      <c r="L46" s="91" t="s">
        <v>149</v>
      </c>
      <c r="M46" s="104">
        <v>59798</v>
      </c>
      <c r="N46" s="105">
        <v>59798</v>
      </c>
      <c r="O46" s="105">
        <v>53366</v>
      </c>
      <c r="P46" s="105">
        <v>53366</v>
      </c>
      <c r="Q46" s="105">
        <v>27741.06</v>
      </c>
      <c r="R46" s="258"/>
      <c r="S46" s="106">
        <v>0</v>
      </c>
      <c r="T46" s="112">
        <f>'20912'!H9+'20912'!H10</f>
        <v>59798</v>
      </c>
      <c r="U46" s="144">
        <v>0</v>
      </c>
      <c r="V46" s="144">
        <v>0</v>
      </c>
      <c r="W46" s="231">
        <f t="shared" si="0"/>
        <v>0</v>
      </c>
      <c r="X46" s="189">
        <v>0</v>
      </c>
      <c r="Y46" s="91" t="s">
        <v>503</v>
      </c>
      <c r="Z46" s="209">
        <f>VLOOKUP(C46,'Summary_by FY'!$C$1:$C$1038,1,FALSE)</f>
        <v>20912</v>
      </c>
    </row>
    <row r="47" spans="1:26" s="90" customFormat="1" x14ac:dyDescent="0.4">
      <c r="A47" s="93">
        <f t="shared" si="1"/>
        <v>44</v>
      </c>
      <c r="B47" s="285" t="s">
        <v>90</v>
      </c>
      <c r="C47" s="177">
        <v>20913</v>
      </c>
      <c r="D47" s="91">
        <v>8818</v>
      </c>
      <c r="E47" s="91"/>
      <c r="F47" s="91" t="s">
        <v>10</v>
      </c>
      <c r="G47" s="92" t="str">
        <f>VLOOKUP(F47,lookup!B:C,2,FALSE)</f>
        <v>Arts &amp; Science</v>
      </c>
      <c r="H47" s="91" t="s">
        <v>205</v>
      </c>
      <c r="I47" s="91" t="s">
        <v>355</v>
      </c>
      <c r="J47" s="91" t="s">
        <v>465</v>
      </c>
      <c r="K47" s="91" t="s">
        <v>290</v>
      </c>
      <c r="L47" s="91" t="s">
        <v>149</v>
      </c>
      <c r="M47" s="104">
        <v>96612</v>
      </c>
      <c r="N47" s="105">
        <v>96612</v>
      </c>
      <c r="O47" s="105">
        <v>86900</v>
      </c>
      <c r="P47" s="105">
        <v>86900</v>
      </c>
      <c r="Q47" s="105">
        <v>45263.09</v>
      </c>
      <c r="R47" s="258"/>
      <c r="S47" s="106">
        <v>0</v>
      </c>
      <c r="T47" s="112">
        <f>'20913'!H9+'20913'!H10</f>
        <v>96612</v>
      </c>
      <c r="U47" s="144">
        <v>0</v>
      </c>
      <c r="V47" s="144">
        <v>0</v>
      </c>
      <c r="W47" s="231">
        <f t="shared" si="0"/>
        <v>0</v>
      </c>
      <c r="X47" s="189">
        <v>0</v>
      </c>
      <c r="Y47" s="91" t="s">
        <v>503</v>
      </c>
      <c r="Z47" s="209">
        <f>VLOOKUP(C47,'Summary_by FY'!$C$1:$C$1038,1,FALSE)</f>
        <v>20913</v>
      </c>
    </row>
    <row r="48" spans="1:26" s="90" customFormat="1" x14ac:dyDescent="0.4">
      <c r="A48" s="93">
        <f t="shared" si="1"/>
        <v>45</v>
      </c>
      <c r="B48" s="285" t="s">
        <v>89</v>
      </c>
      <c r="C48" s="177">
        <v>20922</v>
      </c>
      <c r="D48" s="91">
        <v>8720</v>
      </c>
      <c r="E48" s="91" t="s">
        <v>398</v>
      </c>
      <c r="F48" s="91" t="s">
        <v>10</v>
      </c>
      <c r="G48" s="92" t="str">
        <f>VLOOKUP(F48,lookup!B:C,2,FALSE)</f>
        <v>Arts &amp; Science</v>
      </c>
      <c r="H48" s="91" t="s">
        <v>396</v>
      </c>
      <c r="I48" s="91" t="s">
        <v>400</v>
      </c>
      <c r="J48" s="91" t="s">
        <v>465</v>
      </c>
      <c r="K48" s="91" t="s">
        <v>290</v>
      </c>
      <c r="L48" s="91" t="s">
        <v>318</v>
      </c>
      <c r="M48" s="104">
        <v>170000</v>
      </c>
      <c r="N48" s="105">
        <v>197150</v>
      </c>
      <c r="O48" s="105">
        <v>170000</v>
      </c>
      <c r="P48" s="105">
        <v>170000</v>
      </c>
      <c r="Q48" s="105">
        <v>170000</v>
      </c>
      <c r="R48" s="258">
        <v>27150</v>
      </c>
      <c r="S48" s="106">
        <v>0</v>
      </c>
      <c r="T48" s="112">
        <f>'20922'!H9</f>
        <v>197150</v>
      </c>
      <c r="U48" s="144">
        <v>0</v>
      </c>
      <c r="V48" s="144">
        <v>0</v>
      </c>
      <c r="W48" s="231">
        <f t="shared" si="0"/>
        <v>0</v>
      </c>
      <c r="X48" s="189">
        <v>0</v>
      </c>
      <c r="Y48" s="91" t="s">
        <v>504</v>
      </c>
      <c r="Z48" s="209">
        <f>VLOOKUP(C48,'Summary_by FY'!$C$1:$C$1038,1,FALSE)</f>
        <v>20922</v>
      </c>
    </row>
    <row r="49" spans="1:26" s="90" customFormat="1" x14ac:dyDescent="0.4">
      <c r="A49" s="93">
        <f t="shared" si="1"/>
        <v>46</v>
      </c>
      <c r="B49" s="285" t="s">
        <v>90</v>
      </c>
      <c r="C49" s="177">
        <v>20924</v>
      </c>
      <c r="D49" s="91"/>
      <c r="E49" s="91"/>
      <c r="F49" s="91" t="s">
        <v>25</v>
      </c>
      <c r="G49" s="92" t="str">
        <f>VLOOKUP(F49,lookup!B:C,2,FALSE)</f>
        <v>Nursing</v>
      </c>
      <c r="H49" s="91" t="s">
        <v>369</v>
      </c>
      <c r="I49" s="91" t="s">
        <v>371</v>
      </c>
      <c r="J49" s="91" t="s">
        <v>465</v>
      </c>
      <c r="K49" s="91" t="s">
        <v>261</v>
      </c>
      <c r="L49" s="91" t="s">
        <v>149</v>
      </c>
      <c r="M49" s="104">
        <v>30570</v>
      </c>
      <c r="N49" s="105">
        <v>30570</v>
      </c>
      <c r="O49" s="105">
        <v>24500</v>
      </c>
      <c r="P49" s="105">
        <v>24500</v>
      </c>
      <c r="Q49" s="105">
        <v>24500</v>
      </c>
      <c r="R49" s="258">
        <v>6070</v>
      </c>
      <c r="S49" s="106">
        <v>0</v>
      </c>
      <c r="T49" s="112">
        <f>'20924'!H9</f>
        <v>30570</v>
      </c>
      <c r="U49" s="144">
        <v>0</v>
      </c>
      <c r="V49" s="144">
        <v>0</v>
      </c>
      <c r="W49" s="231">
        <f t="shared" si="0"/>
        <v>0</v>
      </c>
      <c r="X49" s="189">
        <v>0</v>
      </c>
      <c r="Y49" s="91" t="s">
        <v>454</v>
      </c>
      <c r="Z49" s="209">
        <f>VLOOKUP(C49,'Summary_by FY'!$C$1:$C$1038,1,FALSE)</f>
        <v>20924</v>
      </c>
    </row>
    <row r="50" spans="1:26" s="90" customFormat="1" x14ac:dyDescent="0.4">
      <c r="A50" s="93">
        <f t="shared" si="1"/>
        <v>47</v>
      </c>
      <c r="B50" s="285" t="s">
        <v>89</v>
      </c>
      <c r="C50" s="91">
        <v>20925</v>
      </c>
      <c r="D50" s="91">
        <v>8260</v>
      </c>
      <c r="E50" s="91"/>
      <c r="F50" s="91" t="s">
        <v>12</v>
      </c>
      <c r="G50" s="92" t="str">
        <f>VLOOKUP(F50,lookup!B:C,2,FALSE)</f>
        <v>Blair</v>
      </c>
      <c r="H50" s="91" t="s">
        <v>150</v>
      </c>
      <c r="I50" s="91" t="s">
        <v>373</v>
      </c>
      <c r="J50" s="91" t="s">
        <v>465</v>
      </c>
      <c r="K50" s="91" t="s">
        <v>100</v>
      </c>
      <c r="L50" s="91" t="s">
        <v>151</v>
      </c>
      <c r="M50" s="104">
        <v>2750000</v>
      </c>
      <c r="N50" s="105">
        <v>0</v>
      </c>
      <c r="O50" s="105">
        <v>0</v>
      </c>
      <c r="P50" s="105">
        <v>0</v>
      </c>
      <c r="Q50" s="105">
        <v>0</v>
      </c>
      <c r="R50" s="258"/>
      <c r="S50" s="106">
        <v>0</v>
      </c>
      <c r="T50" s="112">
        <v>0</v>
      </c>
      <c r="U50" s="144">
        <v>0</v>
      </c>
      <c r="V50" s="144">
        <v>0</v>
      </c>
      <c r="W50" s="231">
        <f t="shared" si="0"/>
        <v>0</v>
      </c>
      <c r="X50" s="189">
        <f>M50</f>
        <v>2750000</v>
      </c>
      <c r="Y50" s="91" t="s">
        <v>505</v>
      </c>
      <c r="Z50" s="209">
        <f>VLOOKUP(C50,'Summary_by FY'!$C$1:$C$1038,1,FALSE)</f>
        <v>20925</v>
      </c>
    </row>
    <row r="51" spans="1:26" s="202" customFormat="1" hidden="1" outlineLevel="1" x14ac:dyDescent="0.4">
      <c r="A51" s="191">
        <f t="shared" si="1"/>
        <v>48</v>
      </c>
      <c r="B51" s="286" t="s">
        <v>215</v>
      </c>
      <c r="C51" s="192">
        <v>20934</v>
      </c>
      <c r="D51" s="192"/>
      <c r="E51" s="192"/>
      <c r="F51" s="192" t="s">
        <v>10</v>
      </c>
      <c r="G51" s="194" t="str">
        <f>VLOOKUP(F51,lookup!B:C,2,FALSE)</f>
        <v>Arts &amp; Science</v>
      </c>
      <c r="H51" s="192" t="s">
        <v>370</v>
      </c>
      <c r="I51" s="192" t="s">
        <v>374</v>
      </c>
      <c r="J51" s="192" t="s">
        <v>486</v>
      </c>
      <c r="K51" s="192" t="s">
        <v>259</v>
      </c>
      <c r="L51" s="192" t="s">
        <v>156</v>
      </c>
      <c r="M51" s="195"/>
      <c r="N51" s="196">
        <v>0</v>
      </c>
      <c r="O51" s="196">
        <v>0</v>
      </c>
      <c r="P51" s="196">
        <v>0</v>
      </c>
      <c r="Q51" s="196">
        <v>0</v>
      </c>
      <c r="R51" s="259"/>
      <c r="S51" s="197">
        <v>0</v>
      </c>
      <c r="T51" s="198">
        <v>0</v>
      </c>
      <c r="U51" s="199">
        <v>0</v>
      </c>
      <c r="V51" s="199" t="s">
        <v>215</v>
      </c>
      <c r="W51" s="232" t="str">
        <f t="shared" si="0"/>
        <v>TBD</v>
      </c>
      <c r="X51" s="200">
        <v>0</v>
      </c>
      <c r="Y51" s="192" t="s">
        <v>455</v>
      </c>
      <c r="Z51" s="257" t="e">
        <f>VLOOKUP(C51,'Summary_by FY'!$C$1:$C$1038,1,FALSE)</f>
        <v>#N/A</v>
      </c>
    </row>
    <row r="52" spans="1:26" s="90" customFormat="1" collapsed="1" x14ac:dyDescent="0.4">
      <c r="A52" s="93">
        <f t="shared" si="1"/>
        <v>49</v>
      </c>
      <c r="B52" s="285" t="s">
        <v>90</v>
      </c>
      <c r="C52" s="177">
        <v>20936</v>
      </c>
      <c r="D52" s="91">
        <v>8814</v>
      </c>
      <c r="E52" s="91"/>
      <c r="F52" s="91" t="s">
        <v>10</v>
      </c>
      <c r="G52" s="92" t="str">
        <f>VLOOKUP(F52,lookup!B:C,2,FALSE)</f>
        <v>Arts &amp; Science</v>
      </c>
      <c r="H52" s="91" t="s">
        <v>205</v>
      </c>
      <c r="I52" s="91" t="s">
        <v>375</v>
      </c>
      <c r="J52" s="91" t="s">
        <v>465</v>
      </c>
      <c r="K52" s="91" t="s">
        <v>290</v>
      </c>
      <c r="L52" s="91" t="s">
        <v>318</v>
      </c>
      <c r="M52" s="104">
        <v>405000</v>
      </c>
      <c r="N52" s="105">
        <v>404655.91</v>
      </c>
      <c r="O52" s="105">
        <v>357255.91</v>
      </c>
      <c r="P52" s="105">
        <v>357255.91</v>
      </c>
      <c r="Q52" s="105">
        <v>357255.91</v>
      </c>
      <c r="R52" s="258">
        <v>47400</v>
      </c>
      <c r="S52" s="106">
        <v>0</v>
      </c>
      <c r="T52" s="112">
        <f>'20936'!H9</f>
        <v>404655.91</v>
      </c>
      <c r="U52" s="144">
        <v>0</v>
      </c>
      <c r="V52" s="144">
        <v>0</v>
      </c>
      <c r="W52" s="231">
        <f t="shared" si="0"/>
        <v>0</v>
      </c>
      <c r="X52" s="189">
        <v>0</v>
      </c>
      <c r="Y52" s="91" t="s">
        <v>506</v>
      </c>
      <c r="Z52" s="209">
        <f>VLOOKUP(C52,'Summary_by FY'!$C$1:$C$1038,1,FALSE)</f>
        <v>20936</v>
      </c>
    </row>
    <row r="53" spans="1:26" s="90" customFormat="1" x14ac:dyDescent="0.4">
      <c r="A53" s="93">
        <f t="shared" si="1"/>
        <v>50</v>
      </c>
      <c r="B53" s="285" t="s">
        <v>89</v>
      </c>
      <c r="C53" s="177">
        <v>20940</v>
      </c>
      <c r="D53" s="91"/>
      <c r="E53" s="91" t="s">
        <v>447</v>
      </c>
      <c r="F53" s="91" t="s">
        <v>15</v>
      </c>
      <c r="G53" s="92" t="str">
        <f>VLOOKUP(F53,lookup!B:C,2,FALSE)</f>
        <v>Engineering</v>
      </c>
      <c r="H53" s="91" t="s">
        <v>163</v>
      </c>
      <c r="I53" s="91" t="s">
        <v>376</v>
      </c>
      <c r="J53" s="91" t="s">
        <v>465</v>
      </c>
      <c r="K53" s="91" t="s">
        <v>101</v>
      </c>
      <c r="L53" s="91" t="s">
        <v>156</v>
      </c>
      <c r="M53" s="104">
        <v>310000</v>
      </c>
      <c r="N53" s="105">
        <v>309548.64</v>
      </c>
      <c r="O53" s="105">
        <v>271388.49</v>
      </c>
      <c r="P53" s="105">
        <v>296749.81</v>
      </c>
      <c r="Q53" s="105">
        <v>22423.67</v>
      </c>
      <c r="R53" s="258"/>
      <c r="S53" s="106">
        <v>0</v>
      </c>
      <c r="T53" s="112">
        <v>0</v>
      </c>
      <c r="U53" s="144">
        <f>'20940'!H9+'20940'!H10</f>
        <v>309548.64</v>
      </c>
      <c r="V53" s="144">
        <v>0</v>
      </c>
      <c r="W53" s="231">
        <f t="shared" si="0"/>
        <v>309548.64</v>
      </c>
      <c r="X53" s="189">
        <v>0</v>
      </c>
      <c r="Y53" s="91" t="s">
        <v>507</v>
      </c>
      <c r="Z53" s="209">
        <f>VLOOKUP(C53,'Summary_by FY'!$C$1:$C$1038,1,FALSE)</f>
        <v>20940</v>
      </c>
    </row>
    <row r="54" spans="1:26" s="90" customFormat="1" collapsed="1" x14ac:dyDescent="0.4">
      <c r="A54" s="93">
        <f t="shared" si="1"/>
        <v>51</v>
      </c>
      <c r="B54" s="285" t="s">
        <v>90</v>
      </c>
      <c r="C54" s="177">
        <v>20945</v>
      </c>
      <c r="D54" s="91"/>
      <c r="E54" s="91"/>
      <c r="F54" s="91" t="s">
        <v>389</v>
      </c>
      <c r="G54" s="92" t="s">
        <v>365</v>
      </c>
      <c r="H54" s="91" t="s">
        <v>352</v>
      </c>
      <c r="I54" s="91" t="s">
        <v>382</v>
      </c>
      <c r="J54" s="91" t="s">
        <v>465</v>
      </c>
      <c r="K54" s="91" t="s">
        <v>261</v>
      </c>
      <c r="L54" s="91" t="s">
        <v>156</v>
      </c>
      <c r="M54" s="104">
        <v>99000</v>
      </c>
      <c r="N54" s="105">
        <v>99000</v>
      </c>
      <c r="O54" s="105">
        <v>82897</v>
      </c>
      <c r="P54" s="105">
        <v>82897</v>
      </c>
      <c r="Q54" s="105">
        <v>0</v>
      </c>
      <c r="R54" s="258">
        <v>16103</v>
      </c>
      <c r="S54" s="106">
        <v>0</v>
      </c>
      <c r="T54" s="112">
        <f>'20945'!H9</f>
        <v>99000</v>
      </c>
      <c r="U54" s="144">
        <v>0</v>
      </c>
      <c r="V54" s="144">
        <v>0</v>
      </c>
      <c r="W54" s="231">
        <f t="shared" si="0"/>
        <v>0</v>
      </c>
      <c r="X54" s="189">
        <v>0</v>
      </c>
      <c r="Y54" s="91" t="s">
        <v>456</v>
      </c>
      <c r="Z54" s="209">
        <f>VLOOKUP(C54,'Summary_by FY'!$C$1:$C$1038,1,FALSE)</f>
        <v>20945</v>
      </c>
    </row>
    <row r="55" spans="1:26" s="202" customFormat="1" hidden="1" outlineLevel="1" x14ac:dyDescent="0.4">
      <c r="A55" s="191">
        <f t="shared" si="1"/>
        <v>52</v>
      </c>
      <c r="B55" s="286" t="s">
        <v>89</v>
      </c>
      <c r="C55" s="192">
        <v>20957</v>
      </c>
      <c r="D55" s="192"/>
      <c r="E55" s="192"/>
      <c r="F55" s="256" t="s">
        <v>10</v>
      </c>
      <c r="G55" s="194" t="str">
        <f>VLOOKUP(F55,lookup!B:C,2,FALSE)</f>
        <v>Arts &amp; Science</v>
      </c>
      <c r="H55" s="192" t="s">
        <v>315</v>
      </c>
      <c r="I55" s="256" t="s">
        <v>427</v>
      </c>
      <c r="J55" s="256" t="s">
        <v>486</v>
      </c>
      <c r="K55" s="192" t="s">
        <v>309</v>
      </c>
      <c r="L55" s="192" t="s">
        <v>151</v>
      </c>
      <c r="M55" s="195">
        <v>500000</v>
      </c>
      <c r="N55" s="196">
        <v>0</v>
      </c>
      <c r="O55" s="196">
        <v>0</v>
      </c>
      <c r="P55" s="196">
        <v>0</v>
      </c>
      <c r="Q55" s="196">
        <v>0</v>
      </c>
      <c r="R55" s="259"/>
      <c r="S55" s="197"/>
      <c r="T55" s="198"/>
      <c r="U55" s="199"/>
      <c r="V55" s="199"/>
      <c r="W55" s="232"/>
      <c r="X55" s="200"/>
      <c r="Y55" s="91" t="s">
        <v>436</v>
      </c>
      <c r="Z55" s="257" t="e">
        <f>VLOOKUP(C55,'Summary_by FY'!$C$1:$C$1038,1,FALSE)</f>
        <v>#N/A</v>
      </c>
    </row>
    <row r="56" spans="1:26" s="90" customFormat="1" collapsed="1" x14ac:dyDescent="0.4">
      <c r="A56" s="93">
        <f t="shared" si="1"/>
        <v>53</v>
      </c>
      <c r="B56" s="285" t="s">
        <v>89</v>
      </c>
      <c r="C56" s="177">
        <v>20958</v>
      </c>
      <c r="D56" s="91">
        <v>1642</v>
      </c>
      <c r="E56" s="91" t="s">
        <v>399</v>
      </c>
      <c r="F56" t="s">
        <v>10</v>
      </c>
      <c r="G56" s="92" t="str">
        <f>VLOOKUP(F56,lookup!B:C,2,FALSE)</f>
        <v>Arts &amp; Science</v>
      </c>
      <c r="H56" s="91" t="s">
        <v>386</v>
      </c>
      <c r="I56" s="11" t="s">
        <v>387</v>
      </c>
      <c r="J56" s="11" t="s">
        <v>465</v>
      </c>
      <c r="K56" s="91" t="s">
        <v>101</v>
      </c>
      <c r="L56" s="91" t="s">
        <v>149</v>
      </c>
      <c r="M56" s="104">
        <v>290000</v>
      </c>
      <c r="N56" s="105">
        <v>261629</v>
      </c>
      <c r="O56" s="105">
        <v>235633</v>
      </c>
      <c r="P56" s="105">
        <v>239133</v>
      </c>
      <c r="Q56" s="105">
        <v>77312.399999999994</v>
      </c>
      <c r="R56" s="258"/>
      <c r="S56" s="106">
        <v>0</v>
      </c>
      <c r="T56" s="112">
        <f>'20958'!H9</f>
        <v>18175</v>
      </c>
      <c r="U56" s="144">
        <f>'20958'!H10</f>
        <v>243454</v>
      </c>
      <c r="V56" s="144">
        <v>0</v>
      </c>
      <c r="W56" s="231">
        <f t="shared" si="0"/>
        <v>243454</v>
      </c>
      <c r="X56" s="189">
        <v>0</v>
      </c>
      <c r="Y56" s="91" t="s">
        <v>508</v>
      </c>
      <c r="Z56" s="209">
        <f>VLOOKUP(C56,'Summary_by FY'!$C$1:$C$1038,1,FALSE)</f>
        <v>20958</v>
      </c>
    </row>
    <row r="57" spans="1:26" s="90" customFormat="1" x14ac:dyDescent="0.4">
      <c r="A57" s="93">
        <f t="shared" si="1"/>
        <v>54</v>
      </c>
      <c r="B57" s="285" t="s">
        <v>89</v>
      </c>
      <c r="C57" s="177">
        <v>20962</v>
      </c>
      <c r="D57" s="91">
        <v>8754</v>
      </c>
      <c r="E57" s="91"/>
      <c r="F57" s="91" t="s">
        <v>10</v>
      </c>
      <c r="G57" s="92" t="str">
        <f>VLOOKUP(F57,lookup!B:C,2,FALSE)</f>
        <v>Arts &amp; Science</v>
      </c>
      <c r="H57" s="91" t="s">
        <v>396</v>
      </c>
      <c r="I57" s="90" t="s">
        <v>394</v>
      </c>
      <c r="J57" s="90" t="s">
        <v>465</v>
      </c>
      <c r="K57" s="91" t="s">
        <v>178</v>
      </c>
      <c r="L57" s="91" t="s">
        <v>149</v>
      </c>
      <c r="M57" s="104">
        <v>1750000</v>
      </c>
      <c r="N57" s="105">
        <v>1800</v>
      </c>
      <c r="O57" s="105">
        <v>1800</v>
      </c>
      <c r="P57" s="105">
        <v>1800</v>
      </c>
      <c r="Q57" s="105">
        <v>0</v>
      </c>
      <c r="R57" s="258"/>
      <c r="S57" s="106">
        <v>0</v>
      </c>
      <c r="T57" s="112">
        <v>0</v>
      </c>
      <c r="U57" s="144">
        <f>'20962'!H9</f>
        <v>1800</v>
      </c>
      <c r="V57" s="144">
        <v>2000000</v>
      </c>
      <c r="W57" s="231">
        <f t="shared" si="0"/>
        <v>2001800</v>
      </c>
      <c r="X57" s="189">
        <v>0</v>
      </c>
      <c r="Y57" s="91" t="s">
        <v>509</v>
      </c>
      <c r="Z57" s="209">
        <f>VLOOKUP(C57,'Summary_by FY'!$C$1:$C$1038,1,FALSE)</f>
        <v>20962</v>
      </c>
    </row>
    <row r="58" spans="1:26" s="90" customFormat="1" x14ac:dyDescent="0.4">
      <c r="A58" s="93">
        <f t="shared" si="1"/>
        <v>55</v>
      </c>
      <c r="B58" s="285" t="s">
        <v>89</v>
      </c>
      <c r="C58" s="91">
        <v>20979</v>
      </c>
      <c r="D58" s="91">
        <v>9</v>
      </c>
      <c r="E58" s="91"/>
      <c r="F58" s="91" t="s">
        <v>15</v>
      </c>
      <c r="G58" s="92" t="str">
        <f>VLOOKUP(F58,lookup!B:C,2,FALSE)</f>
        <v>Engineering</v>
      </c>
      <c r="H58" s="91" t="s">
        <v>163</v>
      </c>
      <c r="I58" s="91" t="s">
        <v>401</v>
      </c>
      <c r="J58" s="91" t="s">
        <v>465</v>
      </c>
      <c r="K58" s="91" t="s">
        <v>372</v>
      </c>
      <c r="L58" s="91" t="s">
        <v>149</v>
      </c>
      <c r="M58" s="104">
        <v>270000</v>
      </c>
      <c r="N58" s="105">
        <v>0</v>
      </c>
      <c r="O58" s="105">
        <v>0</v>
      </c>
      <c r="P58" s="105">
        <v>0</v>
      </c>
      <c r="Q58" s="105">
        <v>0</v>
      </c>
      <c r="R58" s="258"/>
      <c r="S58" s="106">
        <v>0</v>
      </c>
      <c r="T58" s="112">
        <v>0</v>
      </c>
      <c r="U58" s="144">
        <v>0</v>
      </c>
      <c r="V58" s="144">
        <v>0</v>
      </c>
      <c r="W58" s="231">
        <f t="shared" si="0"/>
        <v>0</v>
      </c>
      <c r="X58" s="189" t="s">
        <v>215</v>
      </c>
      <c r="Y58" s="91" t="s">
        <v>510</v>
      </c>
      <c r="Z58" s="209">
        <f>VLOOKUP(C58,'Summary_by FY'!$C$1:$C$1038,1,FALSE)</f>
        <v>20979</v>
      </c>
    </row>
    <row r="59" spans="1:26" s="90" customFormat="1" x14ac:dyDescent="0.4">
      <c r="A59" s="93">
        <f t="shared" si="1"/>
        <v>56</v>
      </c>
      <c r="B59" s="285" t="s">
        <v>89</v>
      </c>
      <c r="C59" s="177">
        <v>20982</v>
      </c>
      <c r="D59" s="91"/>
      <c r="E59" s="91" t="s">
        <v>404</v>
      </c>
      <c r="F59" s="91" t="s">
        <v>154</v>
      </c>
      <c r="G59" s="92" t="str">
        <f>VLOOKUP(F59,lookup!B:C,2,FALSE)</f>
        <v>Law</v>
      </c>
      <c r="H59" s="91" t="s">
        <v>272</v>
      </c>
      <c r="I59" s="91" t="s">
        <v>402</v>
      </c>
      <c r="J59" s="91" t="s">
        <v>465</v>
      </c>
      <c r="K59" s="91" t="s">
        <v>101</v>
      </c>
      <c r="L59" s="91" t="s">
        <v>149</v>
      </c>
      <c r="M59" s="104">
        <v>272000</v>
      </c>
      <c r="N59" s="105">
        <v>272000</v>
      </c>
      <c r="O59" s="105">
        <v>246321</v>
      </c>
      <c r="P59" s="105">
        <v>249821</v>
      </c>
      <c r="Q59" s="105">
        <v>11175</v>
      </c>
      <c r="R59" s="258"/>
      <c r="S59" s="106">
        <v>0</v>
      </c>
      <c r="T59" s="112">
        <f>'20982'!H9</f>
        <v>18175</v>
      </c>
      <c r="U59" s="144">
        <f>'20982'!H10</f>
        <v>253825</v>
      </c>
      <c r="V59" s="144">
        <v>0</v>
      </c>
      <c r="W59" s="231">
        <f t="shared" si="0"/>
        <v>253825</v>
      </c>
      <c r="X59" s="189">
        <v>0</v>
      </c>
      <c r="Y59" s="91" t="s">
        <v>508</v>
      </c>
      <c r="Z59" s="209">
        <f>VLOOKUP(C59,'Summary_by FY'!$C$1:$C$1038,1,FALSE)</f>
        <v>20982</v>
      </c>
    </row>
    <row r="60" spans="1:26" s="90" customFormat="1" x14ac:dyDescent="0.4">
      <c r="A60" s="93">
        <f t="shared" si="1"/>
        <v>57</v>
      </c>
      <c r="B60" s="285" t="s">
        <v>90</v>
      </c>
      <c r="C60" s="177">
        <v>20984</v>
      </c>
      <c r="D60" s="91">
        <v>8712</v>
      </c>
      <c r="E60" s="91"/>
      <c r="F60" s="91" t="s">
        <v>10</v>
      </c>
      <c r="G60" s="92" t="str">
        <f>VLOOKUP(F60,lookup!B:C,2,FALSE)</f>
        <v>Arts &amp; Science</v>
      </c>
      <c r="H60" s="91" t="s">
        <v>205</v>
      </c>
      <c r="I60" s="91" t="s">
        <v>428</v>
      </c>
      <c r="J60" s="91" t="s">
        <v>465</v>
      </c>
      <c r="K60" s="91" t="s">
        <v>290</v>
      </c>
      <c r="L60" s="91" t="s">
        <v>151</v>
      </c>
      <c r="M60" s="104">
        <v>167000</v>
      </c>
      <c r="N60" s="105">
        <v>167000</v>
      </c>
      <c r="O60" s="105">
        <v>143484.6</v>
      </c>
      <c r="P60" s="105">
        <v>143484.6</v>
      </c>
      <c r="Q60" s="105">
        <v>122986</v>
      </c>
      <c r="R60" s="258"/>
      <c r="S60" s="106">
        <v>0</v>
      </c>
      <c r="T60" s="112">
        <v>0</v>
      </c>
      <c r="U60" s="144">
        <f>'20984'!H9</f>
        <v>167000</v>
      </c>
      <c r="V60" s="144">
        <v>0</v>
      </c>
      <c r="W60" s="231">
        <f t="shared" si="0"/>
        <v>167000</v>
      </c>
      <c r="X60" s="189">
        <v>0</v>
      </c>
      <c r="Y60" s="91" t="s">
        <v>511</v>
      </c>
      <c r="Z60" s="209">
        <f>VLOOKUP(C60,'Summary_by FY'!$C$1:$C$1038,1,FALSE)</f>
        <v>20984</v>
      </c>
    </row>
    <row r="61" spans="1:26" s="90" customFormat="1" x14ac:dyDescent="0.4">
      <c r="A61" s="93">
        <f t="shared" si="1"/>
        <v>58</v>
      </c>
      <c r="B61" s="285" t="s">
        <v>89</v>
      </c>
      <c r="C61" s="177">
        <v>21004</v>
      </c>
      <c r="D61" s="91">
        <v>1010</v>
      </c>
      <c r="E61" s="91"/>
      <c r="F61" s="91" t="s">
        <v>10</v>
      </c>
      <c r="G61" s="92" t="str">
        <f>VLOOKUP(F61,lookup!B:C,2,FALSE)</f>
        <v>Arts &amp; Science</v>
      </c>
      <c r="H61" s="91" t="s">
        <v>206</v>
      </c>
      <c r="I61" s="91" t="s">
        <v>429</v>
      </c>
      <c r="J61" s="91" t="s">
        <v>465</v>
      </c>
      <c r="K61" s="91" t="s">
        <v>372</v>
      </c>
      <c r="L61" s="91" t="s">
        <v>318</v>
      </c>
      <c r="M61" s="104">
        <v>0</v>
      </c>
      <c r="N61" s="105">
        <v>54000</v>
      </c>
      <c r="O61" s="105">
        <v>44000</v>
      </c>
      <c r="P61" s="105">
        <v>44000</v>
      </c>
      <c r="Q61" s="105">
        <v>17600</v>
      </c>
      <c r="R61" s="258"/>
      <c r="S61" s="106">
        <v>0</v>
      </c>
      <c r="T61" s="112">
        <v>0</v>
      </c>
      <c r="U61" s="144">
        <f>'21004'!H9</f>
        <v>54000</v>
      </c>
      <c r="V61" s="144">
        <v>0</v>
      </c>
      <c r="W61" s="231">
        <f t="shared" si="0"/>
        <v>54000</v>
      </c>
      <c r="X61" s="189">
        <v>0</v>
      </c>
      <c r="Y61" s="91" t="s">
        <v>512</v>
      </c>
      <c r="Z61" s="209">
        <f>VLOOKUP(C61,'Summary_by FY'!$C$1:$C$1038,1,FALSE)</f>
        <v>21004</v>
      </c>
    </row>
    <row r="62" spans="1:26" s="90" customFormat="1" x14ac:dyDescent="0.4">
      <c r="A62" s="93">
        <f t="shared" si="1"/>
        <v>59</v>
      </c>
      <c r="B62" s="285" t="s">
        <v>89</v>
      </c>
      <c r="C62" s="91">
        <v>21005</v>
      </c>
      <c r="D62" s="91"/>
      <c r="E62" s="91"/>
      <c r="F62" s="91" t="s">
        <v>10</v>
      </c>
      <c r="G62" s="92" t="str">
        <f>VLOOKUP(F62,lookup!B:C,2,FALSE)</f>
        <v>Arts &amp; Science</v>
      </c>
      <c r="H62" s="91" t="s">
        <v>206</v>
      </c>
      <c r="I62" s="91" t="s">
        <v>430</v>
      </c>
      <c r="J62" s="91" t="s">
        <v>485</v>
      </c>
      <c r="K62" s="91" t="s">
        <v>372</v>
      </c>
      <c r="L62" s="91" t="s">
        <v>318</v>
      </c>
      <c r="M62" s="104">
        <v>0</v>
      </c>
      <c r="N62" s="105">
        <v>0</v>
      </c>
      <c r="O62" s="105">
        <v>0</v>
      </c>
      <c r="P62" s="105">
        <v>0</v>
      </c>
      <c r="Q62" s="105">
        <v>0</v>
      </c>
      <c r="R62" s="258"/>
      <c r="S62" s="106">
        <v>0</v>
      </c>
      <c r="T62" s="112">
        <v>0</v>
      </c>
      <c r="U62" s="144">
        <v>0</v>
      </c>
      <c r="V62" s="144">
        <v>0</v>
      </c>
      <c r="W62" s="231">
        <f t="shared" si="0"/>
        <v>0</v>
      </c>
      <c r="X62" s="189" t="s">
        <v>215</v>
      </c>
      <c r="Y62" s="91" t="s">
        <v>457</v>
      </c>
      <c r="Z62" s="209">
        <f>VLOOKUP(C62,'Summary_by FY'!$C$1:$C$1038,1,FALSE)</f>
        <v>21005</v>
      </c>
    </row>
    <row r="63" spans="1:26" s="90" customFormat="1" x14ac:dyDescent="0.4">
      <c r="A63" s="93">
        <f t="shared" si="1"/>
        <v>60</v>
      </c>
      <c r="B63" s="285" t="s">
        <v>89</v>
      </c>
      <c r="C63" s="91">
        <v>21006</v>
      </c>
      <c r="D63" s="91"/>
      <c r="E63" s="91"/>
      <c r="F63" s="91" t="s">
        <v>15</v>
      </c>
      <c r="G63" s="92" t="str">
        <f>VLOOKUP(F63,lookup!B:C,2,FALSE)</f>
        <v>Engineering</v>
      </c>
      <c r="H63" s="91" t="s">
        <v>206</v>
      </c>
      <c r="I63" s="91" t="s">
        <v>431</v>
      </c>
      <c r="J63" s="91" t="s">
        <v>485</v>
      </c>
      <c r="K63" s="91" t="s">
        <v>372</v>
      </c>
      <c r="L63" s="91" t="s">
        <v>318</v>
      </c>
      <c r="M63" s="104">
        <v>0</v>
      </c>
      <c r="N63" s="105">
        <v>0</v>
      </c>
      <c r="O63" s="105">
        <v>0</v>
      </c>
      <c r="P63" s="105">
        <v>0</v>
      </c>
      <c r="Q63" s="105">
        <v>0</v>
      </c>
      <c r="R63" s="258"/>
      <c r="S63" s="106">
        <v>0</v>
      </c>
      <c r="T63" s="112">
        <v>0</v>
      </c>
      <c r="U63" s="144">
        <v>0</v>
      </c>
      <c r="V63" s="144">
        <v>0</v>
      </c>
      <c r="W63" s="231">
        <f t="shared" si="0"/>
        <v>0</v>
      </c>
      <c r="X63" s="189" t="s">
        <v>215</v>
      </c>
      <c r="Y63" s="91" t="s">
        <v>458</v>
      </c>
      <c r="Z63" s="209">
        <f>VLOOKUP(C63,'Summary_by FY'!$C$1:$C$1038,1,FALSE)</f>
        <v>21006</v>
      </c>
    </row>
    <row r="64" spans="1:26" s="90" customFormat="1" x14ac:dyDescent="0.4">
      <c r="A64" s="93">
        <f t="shared" si="1"/>
        <v>61</v>
      </c>
      <c r="B64" s="285" t="s">
        <v>89</v>
      </c>
      <c r="C64" s="91">
        <v>21007</v>
      </c>
      <c r="D64" s="91"/>
      <c r="E64" s="91"/>
      <c r="F64" s="91" t="s">
        <v>15</v>
      </c>
      <c r="G64" s="92" t="str">
        <f>VLOOKUP(F64,lookup!B:C,2,FALSE)</f>
        <v>Engineering</v>
      </c>
      <c r="H64" s="91" t="s">
        <v>206</v>
      </c>
      <c r="I64" s="91" t="s">
        <v>432</v>
      </c>
      <c r="J64" s="91" t="s">
        <v>485</v>
      </c>
      <c r="K64" s="91" t="s">
        <v>372</v>
      </c>
      <c r="L64" s="91" t="s">
        <v>318</v>
      </c>
      <c r="M64" s="104">
        <v>0</v>
      </c>
      <c r="N64" s="105">
        <v>0</v>
      </c>
      <c r="O64" s="105">
        <v>0</v>
      </c>
      <c r="P64" s="105">
        <v>0</v>
      </c>
      <c r="Q64" s="105">
        <v>0</v>
      </c>
      <c r="R64" s="258"/>
      <c r="S64" s="106">
        <v>0</v>
      </c>
      <c r="T64" s="112">
        <v>0</v>
      </c>
      <c r="U64" s="144">
        <v>0</v>
      </c>
      <c r="V64" s="144">
        <v>0</v>
      </c>
      <c r="W64" s="231">
        <f t="shared" si="0"/>
        <v>0</v>
      </c>
      <c r="X64" s="189" t="s">
        <v>215</v>
      </c>
      <c r="Y64" s="91" t="s">
        <v>459</v>
      </c>
      <c r="Z64" s="209">
        <f>VLOOKUP(C64,'Summary_by FY'!$C$1:$C$1038,1,FALSE)</f>
        <v>21007</v>
      </c>
    </row>
    <row r="65" spans="1:26" s="90" customFormat="1" x14ac:dyDescent="0.4">
      <c r="A65" s="93">
        <f t="shared" si="1"/>
        <v>62</v>
      </c>
      <c r="B65" s="285" t="s">
        <v>215</v>
      </c>
      <c r="C65" s="91">
        <v>21010</v>
      </c>
      <c r="D65" s="91"/>
      <c r="E65" s="91"/>
      <c r="F65" s="91" t="s">
        <v>15</v>
      </c>
      <c r="G65" s="92" t="str">
        <f>VLOOKUP(F65,lookup!B:C,2,FALSE)</f>
        <v>Engineering</v>
      </c>
      <c r="H65" s="91" t="s">
        <v>433</v>
      </c>
      <c r="I65" s="91" t="s">
        <v>487</v>
      </c>
      <c r="J65" s="91" t="s">
        <v>465</v>
      </c>
      <c r="K65" s="91" t="s">
        <v>372</v>
      </c>
      <c r="L65" s="91" t="s">
        <v>156</v>
      </c>
      <c r="M65" s="104">
        <v>30000</v>
      </c>
      <c r="N65" s="105">
        <v>0</v>
      </c>
      <c r="O65" s="105">
        <v>0</v>
      </c>
      <c r="P65" s="105">
        <v>0</v>
      </c>
      <c r="Q65" s="105">
        <v>0</v>
      </c>
      <c r="R65" s="258"/>
      <c r="S65" s="106">
        <v>0</v>
      </c>
      <c r="T65" s="112">
        <v>0</v>
      </c>
      <c r="U65" s="144">
        <v>0</v>
      </c>
      <c r="V65" s="144">
        <v>0</v>
      </c>
      <c r="W65" s="231">
        <f t="shared" si="0"/>
        <v>0</v>
      </c>
      <c r="X65" s="189" t="s">
        <v>215</v>
      </c>
      <c r="Y65" s="91" t="s">
        <v>513</v>
      </c>
      <c r="Z65" s="209">
        <f>VLOOKUP(C65,'Summary_by FY'!$C$1:$C$1038,1,FALSE)</f>
        <v>21010</v>
      </c>
    </row>
    <row r="66" spans="1:26" s="90" customFormat="1" x14ac:dyDescent="0.4">
      <c r="A66" s="93">
        <f t="shared" si="1"/>
        <v>63</v>
      </c>
      <c r="B66" s="285" t="s">
        <v>215</v>
      </c>
      <c r="C66" s="91">
        <v>21051</v>
      </c>
      <c r="D66" s="91"/>
      <c r="E66" s="91"/>
      <c r="F66" s="91" t="s">
        <v>21</v>
      </c>
      <c r="G66" s="92" t="str">
        <f>VLOOKUP(F66,lookup!B:C,2,FALSE)</f>
        <v>SOM Basic Sciences</v>
      </c>
      <c r="H66" s="91" t="s">
        <v>147</v>
      </c>
      <c r="I66" s="91" t="s">
        <v>448</v>
      </c>
      <c r="J66" s="91" t="s">
        <v>465</v>
      </c>
      <c r="K66" s="91" t="s">
        <v>372</v>
      </c>
      <c r="L66" s="91" t="s">
        <v>318</v>
      </c>
      <c r="M66" s="104">
        <v>0</v>
      </c>
      <c r="N66" s="105">
        <v>0</v>
      </c>
      <c r="O66" s="105">
        <v>0</v>
      </c>
      <c r="P66" s="105">
        <v>0</v>
      </c>
      <c r="Q66" s="105">
        <v>0</v>
      </c>
      <c r="R66" s="258"/>
      <c r="S66" s="106">
        <v>0</v>
      </c>
      <c r="T66" s="112">
        <v>0</v>
      </c>
      <c r="U66" s="144">
        <v>0</v>
      </c>
      <c r="V66" s="144">
        <v>0</v>
      </c>
      <c r="W66" s="231">
        <f t="shared" si="0"/>
        <v>0</v>
      </c>
      <c r="X66" s="189" t="s">
        <v>215</v>
      </c>
      <c r="Y66" s="91" t="s">
        <v>514</v>
      </c>
      <c r="Z66" s="209">
        <f>VLOOKUP(C66,'Summary_by FY'!$C$1:$C$1038,1,FALSE)</f>
        <v>21051</v>
      </c>
    </row>
    <row r="67" spans="1:26" s="90" customFormat="1" x14ac:dyDescent="0.4">
      <c r="A67" s="93">
        <f t="shared" si="1"/>
        <v>64</v>
      </c>
      <c r="B67" s="285" t="s">
        <v>215</v>
      </c>
      <c r="C67" s="91">
        <v>21066</v>
      </c>
      <c r="D67" s="91"/>
      <c r="E67" s="91"/>
      <c r="F67" s="91" t="s">
        <v>443</v>
      </c>
      <c r="G67" s="92" t="str">
        <f>VLOOKUP(F67,lookup!B:C,2,FALSE)</f>
        <v>Arts &amp; Science</v>
      </c>
      <c r="H67" s="91" t="s">
        <v>463</v>
      </c>
      <c r="I67" s="91" t="s">
        <v>464</v>
      </c>
      <c r="J67" s="91" t="s">
        <v>465</v>
      </c>
      <c r="K67" s="91" t="s">
        <v>372</v>
      </c>
      <c r="L67" s="91" t="s">
        <v>156</v>
      </c>
      <c r="M67" s="104">
        <v>0</v>
      </c>
      <c r="N67" s="105">
        <v>0</v>
      </c>
      <c r="O67" s="105">
        <v>0</v>
      </c>
      <c r="P67" s="105">
        <v>0</v>
      </c>
      <c r="Q67" s="105">
        <v>0</v>
      </c>
      <c r="R67" s="258"/>
      <c r="S67" s="106">
        <v>0</v>
      </c>
      <c r="T67" s="112">
        <v>0</v>
      </c>
      <c r="U67" s="144">
        <v>0</v>
      </c>
      <c r="V67" s="144">
        <v>0</v>
      </c>
      <c r="W67" s="231">
        <f t="shared" si="0"/>
        <v>0</v>
      </c>
      <c r="X67" s="189" t="s">
        <v>215</v>
      </c>
      <c r="Y67" s="91" t="s">
        <v>518</v>
      </c>
      <c r="Z67" s="209">
        <f>VLOOKUP(C67,'Summary_by FY'!$C$1:$C$1038,1,FALSE)</f>
        <v>21066</v>
      </c>
    </row>
    <row r="68" spans="1:26" s="90" customFormat="1" x14ac:dyDescent="0.4">
      <c r="A68" s="93">
        <f t="shared" si="1"/>
        <v>65</v>
      </c>
      <c r="B68" s="285" t="s">
        <v>89</v>
      </c>
      <c r="C68" s="91">
        <v>21067</v>
      </c>
      <c r="D68" s="91"/>
      <c r="E68" s="91"/>
      <c r="F68" s="91" t="s">
        <v>25</v>
      </c>
      <c r="G68" s="92" t="str">
        <f>VLOOKUP(F68,lookup!B:C,2,FALSE)</f>
        <v>Nursing</v>
      </c>
      <c r="H68" s="91" t="s">
        <v>334</v>
      </c>
      <c r="I68" s="91" t="s">
        <v>466</v>
      </c>
      <c r="J68" s="91" t="s">
        <v>465</v>
      </c>
      <c r="K68" s="91" t="s">
        <v>100</v>
      </c>
      <c r="L68" s="91" t="s">
        <v>156</v>
      </c>
      <c r="M68" s="104">
        <v>0</v>
      </c>
      <c r="N68" s="105">
        <v>0</v>
      </c>
      <c r="O68" s="105">
        <v>0</v>
      </c>
      <c r="P68" s="105">
        <v>0</v>
      </c>
      <c r="Q68" s="105">
        <v>0</v>
      </c>
      <c r="R68" s="258"/>
      <c r="S68" s="106">
        <v>0</v>
      </c>
      <c r="T68" s="112">
        <v>0</v>
      </c>
      <c r="U68" s="144">
        <v>0</v>
      </c>
      <c r="V68" s="144">
        <v>0</v>
      </c>
      <c r="W68" s="231">
        <f t="shared" si="0"/>
        <v>0</v>
      </c>
      <c r="X68" s="189" t="s">
        <v>215</v>
      </c>
      <c r="Y68" s="91" t="s">
        <v>515</v>
      </c>
      <c r="Z68" s="209">
        <f>VLOOKUP(C68,'Summary_by FY'!$C$1:$C$1038,1,FALSE)</f>
        <v>21067</v>
      </c>
    </row>
    <row r="69" spans="1:26" s="90" customFormat="1" x14ac:dyDescent="0.4">
      <c r="A69" s="93">
        <f t="shared" si="1"/>
        <v>66</v>
      </c>
      <c r="B69" s="285" t="s">
        <v>215</v>
      </c>
      <c r="C69" s="91">
        <v>21068</v>
      </c>
      <c r="D69" s="91"/>
      <c r="E69" s="91"/>
      <c r="F69" s="91" t="s">
        <v>10</v>
      </c>
      <c r="G69" s="92" t="str">
        <f>VLOOKUP(F69,lookup!B:C,2,FALSE)</f>
        <v>Arts &amp; Science</v>
      </c>
      <c r="H69" s="91" t="s">
        <v>254</v>
      </c>
      <c r="I69" s="91" t="s">
        <v>467</v>
      </c>
      <c r="J69" s="91" t="s">
        <v>465</v>
      </c>
      <c r="K69" s="91" t="s">
        <v>223</v>
      </c>
      <c r="L69" s="91" t="s">
        <v>318</v>
      </c>
      <c r="M69" s="104">
        <v>0</v>
      </c>
      <c r="N69" s="105">
        <v>0</v>
      </c>
      <c r="O69" s="105">
        <v>0</v>
      </c>
      <c r="P69" s="105">
        <v>0</v>
      </c>
      <c r="Q69" s="105">
        <v>0</v>
      </c>
      <c r="R69" s="258"/>
      <c r="S69" s="106">
        <v>0</v>
      </c>
      <c r="T69" s="112">
        <v>0</v>
      </c>
      <c r="U69" s="144">
        <v>0</v>
      </c>
      <c r="V69" s="144">
        <v>0</v>
      </c>
      <c r="W69" s="231">
        <f t="shared" ref="W69:W80" si="2">IF(V69="TBD","TBD",U69+V69)</f>
        <v>0</v>
      </c>
      <c r="X69" s="189" t="s">
        <v>215</v>
      </c>
      <c r="Y69" s="91" t="s">
        <v>516</v>
      </c>
      <c r="Z69" s="209">
        <f>VLOOKUP(C69,'Summary_by FY'!$C$1:$C$1038,1,FALSE)</f>
        <v>21068</v>
      </c>
    </row>
    <row r="70" spans="1:26" s="90" customFormat="1" x14ac:dyDescent="0.4">
      <c r="A70" s="93">
        <f t="shared" ref="A70:A80" si="3">A69+1</f>
        <v>67</v>
      </c>
      <c r="B70" s="285" t="s">
        <v>215</v>
      </c>
      <c r="C70" s="91">
        <v>21070</v>
      </c>
      <c r="D70" s="91"/>
      <c r="E70" s="91"/>
      <c r="F70" s="91" t="s">
        <v>15</v>
      </c>
      <c r="G70" s="92" t="str">
        <f>VLOOKUP(F70,lookup!B:C,2,FALSE)</f>
        <v>Engineering</v>
      </c>
      <c r="H70" s="91" t="s">
        <v>468</v>
      </c>
      <c r="I70" s="91" t="s">
        <v>469</v>
      </c>
      <c r="J70" s="91" t="s">
        <v>465</v>
      </c>
      <c r="K70" s="91" t="s">
        <v>372</v>
      </c>
      <c r="L70" s="91" t="s">
        <v>149</v>
      </c>
      <c r="M70" s="104">
        <v>0</v>
      </c>
      <c r="N70" s="105">
        <v>0</v>
      </c>
      <c r="O70" s="105">
        <v>0</v>
      </c>
      <c r="P70" s="105">
        <v>0</v>
      </c>
      <c r="Q70" s="105">
        <v>0</v>
      </c>
      <c r="R70" s="258"/>
      <c r="S70" s="106">
        <v>0</v>
      </c>
      <c r="T70" s="112">
        <v>0</v>
      </c>
      <c r="U70" s="144">
        <v>0</v>
      </c>
      <c r="V70" s="144">
        <v>0</v>
      </c>
      <c r="W70" s="231">
        <f t="shared" si="2"/>
        <v>0</v>
      </c>
      <c r="X70" s="189" t="s">
        <v>215</v>
      </c>
      <c r="Y70" s="91" t="s">
        <v>517</v>
      </c>
      <c r="Z70" s="209">
        <f>VLOOKUP(C70,'Summary_by FY'!$C$1:$C$1038,1,FALSE)</f>
        <v>21070</v>
      </c>
    </row>
    <row r="71" spans="1:26" s="90" customFormat="1" x14ac:dyDescent="0.4">
      <c r="A71" s="93">
        <f t="shared" si="3"/>
        <v>68</v>
      </c>
      <c r="B71" s="285" t="s">
        <v>215</v>
      </c>
      <c r="C71" s="91">
        <v>21071</v>
      </c>
      <c r="D71" s="91"/>
      <c r="E71" s="91"/>
      <c r="F71" s="91" t="s">
        <v>10</v>
      </c>
      <c r="G71" s="92" t="str">
        <f>VLOOKUP(F71,lookup!B:C,2,FALSE)</f>
        <v>Arts &amp; Science</v>
      </c>
      <c r="H71" s="91" t="s">
        <v>470</v>
      </c>
      <c r="I71" s="91" t="s">
        <v>471</v>
      </c>
      <c r="J71" s="91" t="s">
        <v>465</v>
      </c>
      <c r="K71" s="91" t="s">
        <v>372</v>
      </c>
      <c r="L71" s="91" t="s">
        <v>156</v>
      </c>
      <c r="M71" s="104">
        <v>0</v>
      </c>
      <c r="N71" s="105">
        <v>0</v>
      </c>
      <c r="O71" s="105">
        <v>0</v>
      </c>
      <c r="P71" s="105">
        <v>0</v>
      </c>
      <c r="Q71" s="105">
        <v>0</v>
      </c>
      <c r="R71" s="258"/>
      <c r="S71" s="106">
        <v>0</v>
      </c>
      <c r="T71" s="112">
        <v>0</v>
      </c>
      <c r="U71" s="144">
        <v>0</v>
      </c>
      <c r="V71" s="144">
        <v>0</v>
      </c>
      <c r="W71" s="231">
        <f t="shared" si="2"/>
        <v>0</v>
      </c>
      <c r="X71" s="189" t="s">
        <v>215</v>
      </c>
      <c r="Y71" s="91" t="s">
        <v>518</v>
      </c>
      <c r="Z71" s="209">
        <f>VLOOKUP(C71,'Summary_by FY'!$C$1:$C$1038,1,FALSE)</f>
        <v>21071</v>
      </c>
    </row>
    <row r="72" spans="1:26" s="90" customFormat="1" x14ac:dyDescent="0.4">
      <c r="A72" s="93">
        <f t="shared" si="3"/>
        <v>69</v>
      </c>
      <c r="B72" s="285" t="s">
        <v>215</v>
      </c>
      <c r="C72" s="91">
        <v>21072</v>
      </c>
      <c r="D72" s="91"/>
      <c r="E72" s="91"/>
      <c r="F72" s="91" t="s">
        <v>10</v>
      </c>
      <c r="G72" s="92" t="str">
        <f>VLOOKUP(F72,lookup!B:C,2,FALSE)</f>
        <v>Arts &amp; Science</v>
      </c>
      <c r="H72" s="91" t="s">
        <v>472</v>
      </c>
      <c r="I72" s="91" t="s">
        <v>473</v>
      </c>
      <c r="J72" s="91" t="s">
        <v>465</v>
      </c>
      <c r="K72" s="91" t="s">
        <v>372</v>
      </c>
      <c r="L72" s="91" t="s">
        <v>156</v>
      </c>
      <c r="M72" s="104">
        <v>0</v>
      </c>
      <c r="N72" s="105">
        <v>0</v>
      </c>
      <c r="O72" s="105">
        <v>0</v>
      </c>
      <c r="P72" s="105">
        <v>0</v>
      </c>
      <c r="Q72" s="105">
        <v>0</v>
      </c>
      <c r="R72" s="258"/>
      <c r="S72" s="106">
        <v>0</v>
      </c>
      <c r="T72" s="112">
        <v>0</v>
      </c>
      <c r="U72" s="144">
        <v>0</v>
      </c>
      <c r="V72" s="144">
        <v>0</v>
      </c>
      <c r="W72" s="231">
        <f t="shared" si="2"/>
        <v>0</v>
      </c>
      <c r="X72" s="189" t="s">
        <v>215</v>
      </c>
      <c r="Y72" s="91" t="s">
        <v>518</v>
      </c>
      <c r="Z72" s="209">
        <f>VLOOKUP(C72,'Summary_by FY'!$C$1:$C$1038,1,FALSE)</f>
        <v>21072</v>
      </c>
    </row>
    <row r="73" spans="1:26" s="90" customFormat="1" x14ac:dyDescent="0.4">
      <c r="A73" s="93">
        <f t="shared" si="3"/>
        <v>70</v>
      </c>
      <c r="B73" s="285" t="s">
        <v>215</v>
      </c>
      <c r="C73" s="91">
        <v>21073</v>
      </c>
      <c r="D73" s="91"/>
      <c r="E73" s="91"/>
      <c r="F73" s="91" t="s">
        <v>10</v>
      </c>
      <c r="G73" s="92" t="str">
        <f>VLOOKUP(F73,lookup!B:C,2,FALSE)</f>
        <v>Arts &amp; Science</v>
      </c>
      <c r="H73" s="91" t="s">
        <v>386</v>
      </c>
      <c r="I73" s="91" t="s">
        <v>474</v>
      </c>
      <c r="J73" s="91" t="s">
        <v>465</v>
      </c>
      <c r="K73" s="91" t="s">
        <v>372</v>
      </c>
      <c r="L73" s="91" t="s">
        <v>156</v>
      </c>
      <c r="M73" s="104">
        <v>0</v>
      </c>
      <c r="N73" s="105">
        <v>0</v>
      </c>
      <c r="O73" s="105">
        <v>0</v>
      </c>
      <c r="P73" s="105">
        <v>0</v>
      </c>
      <c r="Q73" s="105">
        <v>0</v>
      </c>
      <c r="R73" s="258"/>
      <c r="S73" s="106">
        <v>0</v>
      </c>
      <c r="T73" s="112">
        <v>0</v>
      </c>
      <c r="U73" s="144">
        <v>0</v>
      </c>
      <c r="V73" s="144">
        <v>0</v>
      </c>
      <c r="W73" s="231">
        <f t="shared" si="2"/>
        <v>0</v>
      </c>
      <c r="X73" s="189" t="s">
        <v>215</v>
      </c>
      <c r="Y73" s="91" t="s">
        <v>518</v>
      </c>
      <c r="Z73" s="209">
        <f>VLOOKUP(C73,'Summary_by FY'!$C$1:$C$1038,1,FALSE)</f>
        <v>21073</v>
      </c>
    </row>
    <row r="74" spans="1:26" s="90" customFormat="1" x14ac:dyDescent="0.4">
      <c r="A74" s="93">
        <f t="shared" si="3"/>
        <v>71</v>
      </c>
      <c r="B74" s="285" t="s">
        <v>215</v>
      </c>
      <c r="C74" s="91">
        <v>21074</v>
      </c>
      <c r="D74" s="91"/>
      <c r="E74" s="91"/>
      <c r="F74" s="91" t="s">
        <v>19</v>
      </c>
      <c r="G74" s="92" t="str">
        <f>VLOOKUP(F74,lookup!B:C,2,FALSE)</f>
        <v>Law</v>
      </c>
      <c r="H74" s="91" t="s">
        <v>272</v>
      </c>
      <c r="I74" s="91" t="s">
        <v>475</v>
      </c>
      <c r="J74" s="91" t="s">
        <v>465</v>
      </c>
      <c r="K74" s="91" t="s">
        <v>372</v>
      </c>
      <c r="L74" s="91" t="s">
        <v>156</v>
      </c>
      <c r="M74" s="104">
        <v>0</v>
      </c>
      <c r="N74" s="105">
        <v>0</v>
      </c>
      <c r="O74" s="105">
        <v>0</v>
      </c>
      <c r="P74" s="105">
        <v>0</v>
      </c>
      <c r="Q74" s="105">
        <v>0</v>
      </c>
      <c r="R74" s="258"/>
      <c r="S74" s="106">
        <v>0</v>
      </c>
      <c r="T74" s="112">
        <v>0</v>
      </c>
      <c r="U74" s="144">
        <v>0</v>
      </c>
      <c r="V74" s="144">
        <v>0</v>
      </c>
      <c r="W74" s="231">
        <f t="shared" si="2"/>
        <v>0</v>
      </c>
      <c r="X74" s="189" t="s">
        <v>215</v>
      </c>
      <c r="Y74" s="91" t="s">
        <v>518</v>
      </c>
      <c r="Z74" s="209">
        <f>VLOOKUP(C74,'Summary_by FY'!$C$1:$C$1038,1,FALSE)</f>
        <v>21074</v>
      </c>
    </row>
    <row r="75" spans="1:26" s="294" customFormat="1" x14ac:dyDescent="0.4">
      <c r="A75" s="287">
        <f t="shared" si="3"/>
        <v>72</v>
      </c>
      <c r="B75" s="288" t="s">
        <v>215</v>
      </c>
      <c r="C75" s="289">
        <v>21076</v>
      </c>
      <c r="D75" s="289"/>
      <c r="E75" s="289"/>
      <c r="F75" s="295" t="s">
        <v>38</v>
      </c>
      <c r="G75" s="290" t="e">
        <f>VLOOKUP(F75,lookup!B:C,2,FALSE)</f>
        <v>#N/A</v>
      </c>
      <c r="H75" s="289" t="s">
        <v>476</v>
      </c>
      <c r="I75" s="289" t="s">
        <v>477</v>
      </c>
      <c r="J75" s="289" t="s">
        <v>465</v>
      </c>
      <c r="K75" s="289" t="s">
        <v>259</v>
      </c>
      <c r="L75" s="289" t="s">
        <v>149</v>
      </c>
      <c r="M75" s="291">
        <v>0</v>
      </c>
      <c r="N75" s="292">
        <v>0</v>
      </c>
      <c r="O75" s="292">
        <v>0</v>
      </c>
      <c r="P75" s="292">
        <v>0</v>
      </c>
      <c r="Q75" s="292">
        <v>0</v>
      </c>
      <c r="R75" s="293"/>
      <c r="S75" s="106">
        <v>0</v>
      </c>
      <c r="T75" s="112">
        <v>0</v>
      </c>
      <c r="U75" s="144">
        <v>0</v>
      </c>
      <c r="V75" s="144">
        <v>0</v>
      </c>
      <c r="W75" s="231">
        <f t="shared" si="2"/>
        <v>0</v>
      </c>
      <c r="X75" s="189" t="s">
        <v>215</v>
      </c>
      <c r="Y75" s="91" t="s">
        <v>518</v>
      </c>
      <c r="Z75" s="209">
        <f>VLOOKUP(C75,'Summary_by FY'!$C$1:$C$1038,1,FALSE)</f>
        <v>21076</v>
      </c>
    </row>
    <row r="76" spans="1:26" s="90" customFormat="1" x14ac:dyDescent="0.4">
      <c r="A76" s="93">
        <f t="shared" si="3"/>
        <v>73</v>
      </c>
      <c r="B76" s="285" t="s">
        <v>215</v>
      </c>
      <c r="C76" s="91">
        <v>21094</v>
      </c>
      <c r="D76" s="91"/>
      <c r="E76" s="91"/>
      <c r="F76" s="91" t="s">
        <v>177</v>
      </c>
      <c r="G76" s="92" t="str">
        <f>VLOOKUP(F76,lookup!B:C,2,FALSE)</f>
        <v>Nursing</v>
      </c>
      <c r="H76" s="91" t="s">
        <v>334</v>
      </c>
      <c r="I76" s="91" t="s">
        <v>478</v>
      </c>
      <c r="J76" s="91" t="s">
        <v>465</v>
      </c>
      <c r="K76" s="91" t="s">
        <v>372</v>
      </c>
      <c r="L76" s="91" t="s">
        <v>156</v>
      </c>
      <c r="M76" s="104">
        <v>0</v>
      </c>
      <c r="N76" s="105">
        <v>0</v>
      </c>
      <c r="O76" s="105">
        <v>0</v>
      </c>
      <c r="P76" s="105">
        <v>0</v>
      </c>
      <c r="Q76" s="105">
        <v>0</v>
      </c>
      <c r="R76" s="258"/>
      <c r="S76" s="106">
        <v>0</v>
      </c>
      <c r="T76" s="112">
        <v>0</v>
      </c>
      <c r="U76" s="144">
        <v>0</v>
      </c>
      <c r="V76" s="144">
        <v>0</v>
      </c>
      <c r="W76" s="231">
        <f t="shared" si="2"/>
        <v>0</v>
      </c>
      <c r="X76" s="189" t="s">
        <v>215</v>
      </c>
      <c r="Y76" s="91" t="s">
        <v>518</v>
      </c>
      <c r="Z76" s="209">
        <f>VLOOKUP(C76,'Summary_by FY'!$C$1:$C$1038,1,FALSE)</f>
        <v>21094</v>
      </c>
    </row>
    <row r="77" spans="1:26" s="90" customFormat="1" x14ac:dyDescent="0.4">
      <c r="A77" s="93">
        <f t="shared" si="3"/>
        <v>74</v>
      </c>
      <c r="B77" s="285" t="s">
        <v>215</v>
      </c>
      <c r="C77" s="91">
        <v>21107</v>
      </c>
      <c r="D77" s="91"/>
      <c r="E77" s="91"/>
      <c r="F77" s="91" t="s">
        <v>12</v>
      </c>
      <c r="G77" s="92" t="str">
        <f>VLOOKUP(F77,lookup!B:C,2,FALSE)</f>
        <v>Blair</v>
      </c>
      <c r="H77" s="91" t="s">
        <v>150</v>
      </c>
      <c r="I77" s="91" t="s">
        <v>479</v>
      </c>
      <c r="J77" s="91" t="s">
        <v>465</v>
      </c>
      <c r="K77" s="91" t="s">
        <v>259</v>
      </c>
      <c r="L77" s="91" t="s">
        <v>149</v>
      </c>
      <c r="M77" s="104">
        <v>0</v>
      </c>
      <c r="N77" s="105">
        <v>0</v>
      </c>
      <c r="O77" s="105">
        <v>0</v>
      </c>
      <c r="P77" s="105">
        <v>0</v>
      </c>
      <c r="Q77" s="105">
        <v>0</v>
      </c>
      <c r="R77" s="258"/>
      <c r="S77" s="106">
        <v>0</v>
      </c>
      <c r="T77" s="112">
        <v>0</v>
      </c>
      <c r="U77" s="144">
        <v>0</v>
      </c>
      <c r="V77" s="144">
        <v>0</v>
      </c>
      <c r="W77" s="231">
        <f t="shared" si="2"/>
        <v>0</v>
      </c>
      <c r="X77" s="189" t="s">
        <v>215</v>
      </c>
      <c r="Y77" s="91" t="s">
        <v>518</v>
      </c>
      <c r="Z77" s="209">
        <f>VLOOKUP(C77,'Summary_by FY'!$C$1:$C$1038,1,FALSE)</f>
        <v>21107</v>
      </c>
    </row>
    <row r="78" spans="1:26" s="90" customFormat="1" x14ac:dyDescent="0.4">
      <c r="A78" s="93">
        <f t="shared" si="3"/>
        <v>75</v>
      </c>
      <c r="B78" s="285" t="s">
        <v>90</v>
      </c>
      <c r="C78" s="91">
        <v>21108</v>
      </c>
      <c r="D78" s="91"/>
      <c r="E78" s="91"/>
      <c r="F78" s="91" t="s">
        <v>15</v>
      </c>
      <c r="G78" s="92" t="str">
        <f>VLOOKUP(F78,lookup!B:C,2,FALSE)</f>
        <v>Engineering</v>
      </c>
      <c r="H78" s="91" t="s">
        <v>163</v>
      </c>
      <c r="I78" s="91" t="s">
        <v>480</v>
      </c>
      <c r="J78" s="91" t="s">
        <v>465</v>
      </c>
      <c r="K78" s="91" t="s">
        <v>100</v>
      </c>
      <c r="L78" s="91" t="s">
        <v>156</v>
      </c>
      <c r="M78" s="104">
        <v>5000</v>
      </c>
      <c r="N78" s="105">
        <v>0</v>
      </c>
      <c r="O78" s="105">
        <v>0</v>
      </c>
      <c r="P78" s="105">
        <v>0</v>
      </c>
      <c r="Q78" s="105">
        <v>0</v>
      </c>
      <c r="R78" s="258"/>
      <c r="S78" s="106">
        <v>0</v>
      </c>
      <c r="T78" s="112">
        <v>0</v>
      </c>
      <c r="U78" s="144">
        <v>0</v>
      </c>
      <c r="V78" s="144">
        <v>0</v>
      </c>
      <c r="W78" s="231">
        <f t="shared" si="2"/>
        <v>0</v>
      </c>
      <c r="X78" s="189" t="s">
        <v>215</v>
      </c>
      <c r="Y78" s="91" t="s">
        <v>518</v>
      </c>
      <c r="Z78" s="209">
        <f>VLOOKUP(C78,'Summary_by FY'!$C$1:$C$1038,1,FALSE)</f>
        <v>21108</v>
      </c>
    </row>
    <row r="79" spans="1:26" s="90" customFormat="1" x14ac:dyDescent="0.4">
      <c r="A79" s="93">
        <f t="shared" si="3"/>
        <v>76</v>
      </c>
      <c r="B79" s="285" t="s">
        <v>215</v>
      </c>
      <c r="C79" s="91">
        <v>21113</v>
      </c>
      <c r="D79" s="91"/>
      <c r="E79" s="91"/>
      <c r="F79" s="91" t="s">
        <v>21</v>
      </c>
      <c r="G79" s="92" t="str">
        <f>VLOOKUP(F79,lookup!B:C,2,FALSE)</f>
        <v>SOM Basic Sciences</v>
      </c>
      <c r="H79" s="91" t="s">
        <v>147</v>
      </c>
      <c r="I79" s="91" t="s">
        <v>481</v>
      </c>
      <c r="J79" s="91" t="s">
        <v>465</v>
      </c>
      <c r="K79" s="91" t="s">
        <v>372</v>
      </c>
      <c r="L79" s="91" t="s">
        <v>318</v>
      </c>
      <c r="M79" s="104">
        <v>0</v>
      </c>
      <c r="N79" s="105">
        <v>0</v>
      </c>
      <c r="O79" s="105">
        <v>0</v>
      </c>
      <c r="P79" s="105">
        <v>0</v>
      </c>
      <c r="Q79" s="105">
        <v>0</v>
      </c>
      <c r="R79" s="258"/>
      <c r="S79" s="106">
        <v>0</v>
      </c>
      <c r="T79" s="112">
        <v>0</v>
      </c>
      <c r="U79" s="144">
        <v>0</v>
      </c>
      <c r="V79" s="144">
        <v>0</v>
      </c>
      <c r="W79" s="231">
        <f t="shared" si="2"/>
        <v>0</v>
      </c>
      <c r="X79" s="189" t="s">
        <v>215</v>
      </c>
      <c r="Y79" s="91" t="s">
        <v>518</v>
      </c>
      <c r="Z79" s="209">
        <f>VLOOKUP(C79,'Summary_by FY'!$C$1:$C$1038,1,FALSE)</f>
        <v>21113</v>
      </c>
    </row>
    <row r="80" spans="1:26" s="90" customFormat="1" x14ac:dyDescent="0.4">
      <c r="A80" s="93">
        <f t="shared" si="3"/>
        <v>77</v>
      </c>
      <c r="B80" s="285" t="s">
        <v>215</v>
      </c>
      <c r="C80" s="91">
        <v>21114</v>
      </c>
      <c r="D80" s="91"/>
      <c r="E80" s="91"/>
      <c r="F80" s="91" t="s">
        <v>21</v>
      </c>
      <c r="G80" s="92" t="str">
        <f>VLOOKUP(F80,lookup!B:C,2,FALSE)</f>
        <v>SOM Basic Sciences</v>
      </c>
      <c r="H80" s="91" t="s">
        <v>147</v>
      </c>
      <c r="I80" s="91" t="s">
        <v>482</v>
      </c>
      <c r="J80" s="91" t="s">
        <v>465</v>
      </c>
      <c r="K80" s="91" t="s">
        <v>372</v>
      </c>
      <c r="L80" s="91" t="s">
        <v>318</v>
      </c>
      <c r="M80" s="104">
        <v>0</v>
      </c>
      <c r="N80" s="105">
        <v>0</v>
      </c>
      <c r="O80" s="105">
        <v>0</v>
      </c>
      <c r="P80" s="105">
        <v>0</v>
      </c>
      <c r="Q80" s="105">
        <v>0</v>
      </c>
      <c r="R80" s="258"/>
      <c r="S80" s="106">
        <v>0</v>
      </c>
      <c r="T80" s="112">
        <v>0</v>
      </c>
      <c r="U80" s="144">
        <v>0</v>
      </c>
      <c r="V80" s="144">
        <v>0</v>
      </c>
      <c r="W80" s="231">
        <f t="shared" si="2"/>
        <v>0</v>
      </c>
      <c r="X80" s="189" t="s">
        <v>215</v>
      </c>
      <c r="Y80" s="91" t="s">
        <v>518</v>
      </c>
      <c r="Z80" s="209">
        <f>VLOOKUP(C80,'Summary_by FY'!$C$1:$C$1038,1,FALSE)</f>
        <v>21114</v>
      </c>
    </row>
    <row r="81" spans="1:25" ht="15" thickBot="1" x14ac:dyDescent="0.45">
      <c r="B81" s="82"/>
      <c r="C81" s="82"/>
      <c r="D81" s="83"/>
      <c r="E81" s="82"/>
      <c r="F81" s="82"/>
      <c r="G81" s="94"/>
      <c r="H81" s="82"/>
      <c r="I81" s="82"/>
      <c r="J81" s="82"/>
      <c r="K81" s="82"/>
      <c r="L81" s="82"/>
      <c r="M81" s="107">
        <f>SUM(M4:M80)</f>
        <v>41255601.759999998</v>
      </c>
      <c r="N81" s="108">
        <f t="shared" ref="N81:X81" si="4">SUM(N4:N66)</f>
        <v>31009281.979999997</v>
      </c>
      <c r="O81" s="108">
        <f t="shared" si="4"/>
        <v>27188380.640000004</v>
      </c>
      <c r="P81" s="108">
        <f t="shared" si="4"/>
        <v>28236275.160000004</v>
      </c>
      <c r="Q81" s="108">
        <f t="shared" si="4"/>
        <v>22992364.909999996</v>
      </c>
      <c r="R81" s="260">
        <f t="shared" ref="R81:X81" si="5">SUM(R4:R80)</f>
        <v>782167.26</v>
      </c>
      <c r="S81" s="109">
        <f t="shared" si="5"/>
        <v>8797286.2599999998</v>
      </c>
      <c r="T81" s="113">
        <f t="shared" si="5"/>
        <v>11427472.939999999</v>
      </c>
      <c r="U81" s="145">
        <f t="shared" si="5"/>
        <v>6620521.7800000003</v>
      </c>
      <c r="V81" s="145">
        <f t="shared" si="5"/>
        <v>2561500</v>
      </c>
      <c r="W81" s="233">
        <f t="shared" si="5"/>
        <v>9182021.7800000012</v>
      </c>
      <c r="X81" s="190">
        <f t="shared" si="5"/>
        <v>8430000</v>
      </c>
      <c r="Y81" s="82"/>
    </row>
    <row r="82" spans="1:25" x14ac:dyDescent="0.4">
      <c r="S82" s="110" t="b">
        <f>S81='JE LOG_FY23'!C21</f>
        <v>1</v>
      </c>
      <c r="T82" s="110" t="b">
        <f>T81='JE LOG_FY24'!C21</f>
        <v>1</v>
      </c>
    </row>
    <row r="83" spans="1:25" x14ac:dyDescent="0.4">
      <c r="I83" s="88"/>
      <c r="J83" s="88"/>
      <c r="S83" s="110" t="b">
        <f>S81='Summary_for Web-2'!G83</f>
        <v>1</v>
      </c>
      <c r="T83" s="110" t="b">
        <f>T81='Summary_for Web-2'!H83</f>
        <v>1</v>
      </c>
      <c r="U83" s="110" t="b">
        <f>U81='JE LOG_FY25'!C21</f>
        <v>1</v>
      </c>
      <c r="V83" s="110"/>
      <c r="W83" s="110" t="b">
        <f>W81='Summary_for Web-2'!I83</f>
        <v>1</v>
      </c>
    </row>
    <row r="84" spans="1:25" x14ac:dyDescent="0.4">
      <c r="I84" s="88" t="s">
        <v>221</v>
      </c>
      <c r="J84" s="213"/>
    </row>
    <row r="85" spans="1:25" x14ac:dyDescent="0.4">
      <c r="A85" s="75"/>
      <c r="I85" s="213" t="s">
        <v>449</v>
      </c>
      <c r="J85" s="213"/>
      <c r="M85" s="135"/>
      <c r="N85" s="135"/>
      <c r="O85" s="135"/>
      <c r="P85" s="135"/>
      <c r="Q85" s="135"/>
    </row>
    <row r="86" spans="1:25" x14ac:dyDescent="0.4">
      <c r="I86" s="213"/>
      <c r="J86" s="213"/>
      <c r="K86" s="95"/>
      <c r="N86" s="135"/>
      <c r="O86" s="135"/>
      <c r="P86" s="135"/>
      <c r="Q86" s="135"/>
    </row>
    <row r="87" spans="1:25" x14ac:dyDescent="0.4">
      <c r="K87" s="95"/>
      <c r="N87" s="135"/>
      <c r="O87" s="135"/>
      <c r="P87" s="135"/>
      <c r="Q87" s="135"/>
    </row>
    <row r="88" spans="1:25" x14ac:dyDescent="0.4">
      <c r="I88" s="213"/>
      <c r="J88" s="213"/>
      <c r="K88" s="95"/>
      <c r="N88" s="135"/>
      <c r="O88" s="135"/>
      <c r="P88" s="135"/>
      <c r="Q88" s="135"/>
    </row>
    <row r="89" spans="1:25" x14ac:dyDescent="0.4">
      <c r="M89" s="135"/>
      <c r="N89" s="135"/>
      <c r="O89" s="135"/>
      <c r="P89" s="135"/>
      <c r="Q89" s="135"/>
    </row>
    <row r="90" spans="1:25" x14ac:dyDescent="0.4">
      <c r="N90" s="135"/>
      <c r="O90" s="135"/>
      <c r="P90" s="135"/>
      <c r="Q90" s="135"/>
    </row>
    <row r="92" spans="1:25" x14ac:dyDescent="0.4">
      <c r="J92" s="88"/>
    </row>
    <row r="93" spans="1:25" x14ac:dyDescent="0.4">
      <c r="J93" s="213"/>
    </row>
    <row r="94" spans="1:25" x14ac:dyDescent="0.4">
      <c r="I94" s="213"/>
      <c r="J94" s="213"/>
    </row>
    <row r="95" spans="1:25" x14ac:dyDescent="0.4">
      <c r="I95" s="213"/>
      <c r="J95" s="213"/>
    </row>
    <row r="96" spans="1:25" x14ac:dyDescent="0.4">
      <c r="I96" s="213"/>
      <c r="J96" s="213"/>
    </row>
    <row r="98" spans="9:10" x14ac:dyDescent="0.4">
      <c r="I98" s="146"/>
      <c r="J98" s="146"/>
    </row>
    <row r="99" spans="9:10" x14ac:dyDescent="0.4">
      <c r="I99" s="146"/>
      <c r="J99" s="146"/>
    </row>
  </sheetData>
  <sortState xmlns:xlrd2="http://schemas.microsoft.com/office/spreadsheetml/2017/richdata2" ref="A4:Y23">
    <sortCondition ref="C4:C23"/>
    <sortCondition ref="K4:K23"/>
    <sortCondition descending="1" ref="M4:M23"/>
  </sortState>
  <phoneticPr fontId="5" type="noConversion"/>
  <conditionalFormatting sqref="K1:K1048576">
    <cfRule type="cellIs" dxfId="2" priority="1" operator="equal">
      <formula>"Warranty or Construction Closeout"</formula>
    </cfRule>
    <cfRule type="cellIs" dxfId="1" priority="2" operator="equal">
      <formula>"Financial Closeout"</formula>
    </cfRule>
  </conditionalFormatting>
  <conditionalFormatting sqref="R1:R1048576">
    <cfRule type="cellIs" dxfId="0" priority="3" operator="equal">
      <formula>"Warranty or Construction Closeout"</formula>
    </cfRule>
  </conditionalFormatting>
  <hyperlinks>
    <hyperlink ref="S1" location="'JE LOG_FY23'!A1" display="'JE LOG_FY23'!A1" xr:uid="{4AA5BFBA-BD76-4E23-903B-8F8B27E7CF98}"/>
    <hyperlink ref="T1" location="'JE LOG_FY24'!A1" display="'JE LOG_FY24'!A1" xr:uid="{99AF6BF7-AF06-41DE-9239-729475E55066}"/>
    <hyperlink ref="C4" location="'10085'!A1" display="'10085'!A1" xr:uid="{28D4DF83-C31B-47FC-9AC0-5D220C97A63C}"/>
    <hyperlink ref="C5" location="'10098'!A1" display="'10098'!A1" xr:uid="{373BE11F-2E64-482C-B05A-BB275305D949}"/>
    <hyperlink ref="C6" location="'10146'!A1" display="'10146'!A1" xr:uid="{FF0F8BA0-459A-408F-B9D3-FA7F2D2EE021}"/>
    <hyperlink ref="C7" location="'20179'!A1" display="'20179'!A1" xr:uid="{55B14098-0F8C-43BE-9FE8-0D88F96B1BCA}"/>
    <hyperlink ref="C8" location="'20336'!A1" display="'20336'!A1" xr:uid="{2DC0FA85-9BAB-4AC1-ABDC-23DF9A3A008E}"/>
    <hyperlink ref="C9" location="'20431'!A1" display="'20431'!A1" xr:uid="{07FBEB51-1B05-4E73-A12A-C27287215C2B}"/>
    <hyperlink ref="C10" location="'20478'!A1" display="'20478'!A1" xr:uid="{C7EF4184-FED0-4DED-8D60-3EF1EE199007}"/>
    <hyperlink ref="C11" location="'20489'!A1" display="'20489'!A1" xr:uid="{9D7230F2-BDBE-41B1-B203-593A2F245F0A}"/>
    <hyperlink ref="C12" location="'20497'!A1" display="'20497'!A1" xr:uid="{A285E0E7-E54C-46AC-8F3E-DBB506498D71}"/>
    <hyperlink ref="C13" location="'20506'!A1" display="'20506'!A1" xr:uid="{B96F768D-31D9-4A7D-B477-3010B4993724}"/>
    <hyperlink ref="C14" location="'20562'!A1" display="'20562'!A1" xr:uid="{F63E76B8-75D7-495E-B439-FA9B60CEC18B}"/>
    <hyperlink ref="C16" location="'20566'!A1" display="'20566'!A1" xr:uid="{65FBC9C7-BEE8-4170-8DEC-6BD53C5DB8F2}"/>
    <hyperlink ref="C17" location="'20573'!A1" display="'20573'!A1" xr:uid="{7DC91A01-1BD7-4CBA-80B9-1CB0017E903C}"/>
    <hyperlink ref="C18" location="'20574'!A1" display="'20574'!A1" xr:uid="{3F58BF7F-74EA-40E1-A2D9-B0788A4CAA56}"/>
    <hyperlink ref="C19" location="'20577'!A1" display="'20577'!A1" xr:uid="{E4E03EDC-1D85-495A-996F-28BDA1FE2D95}"/>
    <hyperlink ref="C20" location="'20644'!A1" display="'20644'!A1" xr:uid="{56D90246-5045-4E6D-920C-C9EB79BA1867}"/>
    <hyperlink ref="C21" location="'20645'!A1" display="'20645'!A1" xr:uid="{5C077A91-6F5B-4609-96DB-D5862E31195D}"/>
    <hyperlink ref="C22" location="'20667'!A1" display="'20667'!A1" xr:uid="{B0EFA3A9-F118-4010-BC9B-FFB850AE03D3}"/>
    <hyperlink ref="C23" location="'20668'!A1" display="'20668'!A1" xr:uid="{71996D7E-F482-4DA2-96F5-C382FB8E6C8A}"/>
    <hyperlink ref="C24" location="'20698'!A1" display="'20698'!A1" xr:uid="{2C14D74A-7E9A-4498-9A54-2F16479FB91A}"/>
    <hyperlink ref="C25" location="'20700'!A1" display="'20700'!A1" xr:uid="{9B9974FF-2668-4A8D-8324-DB31439E834C}"/>
    <hyperlink ref="C26" location="'20701'!A1" display="'20701'!A1" xr:uid="{522EC4C6-1BB6-426D-9A22-93A808432E75}"/>
    <hyperlink ref="C27" location="'20702'!A1" display="'20702'!A1" xr:uid="{95ABA0AF-84D5-44F1-9DE8-F420044682C0}"/>
    <hyperlink ref="C28" location="'20718'!A1" display="'20718'!A1" xr:uid="{18ADD449-2D9B-458A-9F77-6CF3FFB38953}"/>
    <hyperlink ref="C29" location="'20723'!A1" display="'20723'!A1" xr:uid="{E58F18E4-8CE2-43E5-8E13-6E4EA658536A}"/>
    <hyperlink ref="C30" location="'20724'!A1" display="'20724'!A1" xr:uid="{B28A8F17-F6BC-4BCC-9062-12EB54161B68}"/>
    <hyperlink ref="C31" location="'20735'!A1" display="'20735'!A1" xr:uid="{281D51F0-83F8-4122-802A-733DE5411652}"/>
    <hyperlink ref="C35" location="'20792'!A1" display="'20792'!A1" xr:uid="{97B25019-50BA-4723-B61B-4F5C13979F91}"/>
    <hyperlink ref="C33" location="'20771'!A1" display="'20771'!A1" xr:uid="{9CCE891A-4EAE-45F0-97BC-86E45CF5D430}"/>
    <hyperlink ref="C40" location="'20833'!A1" display="'20833'!A1" xr:uid="{D660A35B-E5FA-4306-B284-C599161FF1B9}"/>
    <hyperlink ref="C39" location="'20832'!A1" display="'20832'!A1" xr:uid="{558B6E4F-42AF-4C1D-A848-552C93D37A2B}"/>
    <hyperlink ref="C38" location="'20831'!A1" display="'20831'!A1" xr:uid="{B4100B18-B071-4D4E-B0B0-FC25FA5C0356}"/>
    <hyperlink ref="C42" location="'20857'!A1" display="'20857'!A1" xr:uid="{4F373CCB-5B9B-496C-80AB-3C3313143CC6}"/>
    <hyperlink ref="C45" location="'20911'!A1" display="'20911'!A1" xr:uid="{5A7847D4-8EB2-4850-AAFA-711670B2EB33}"/>
    <hyperlink ref="C46" location="'20912'!A1" display="'20912'!A1" xr:uid="{51B82CFE-DB43-4221-B61A-F79AB22CDF20}"/>
    <hyperlink ref="C47" location="'20913'!A1" display="'20913'!A1" xr:uid="{495AC23D-8D67-4BBC-9782-C5F54726F3F8}"/>
    <hyperlink ref="C44" location="'20885'!A1" display="'20885'!A1" xr:uid="{C23E2461-412D-46B9-8764-3533EF3FFF30}"/>
    <hyperlink ref="C32" location="'20767'!A1" display="'20767'!A1" xr:uid="{75388F17-E384-4428-8BFF-D4C156449535}"/>
    <hyperlink ref="C54" location="'20945'!A1" display="'20945'!A1" xr:uid="{CB0E891E-3E02-4299-95D4-124C099A482C}"/>
    <hyperlink ref="C52" location="'20936'!A1" display="'20936'!A1" xr:uid="{9C2BA3B2-64F9-4080-B767-E34AD0224F9B}"/>
    <hyperlink ref="C49" location="'20924'!A1" display="'20924'!A1" xr:uid="{4345F7B7-0073-4263-8BD0-B4D0390BEFB2}"/>
    <hyperlink ref="C36" location="'20811'!A1" display="'20811'!A1" xr:uid="{71BFB999-E30C-4639-A445-E958EE984BA3}"/>
    <hyperlink ref="C43" location="'20884'!A1" display="'20884'!A1" xr:uid="{84FFE6CA-FEF8-4412-ACD3-EB98AD761E47}"/>
    <hyperlink ref="C56" location="'20958'!A1" display="'20958'!A1" xr:uid="{7B8690CD-3C8D-4AA0-8DE4-3A8CD98E28D3}"/>
    <hyperlink ref="C48" location="'20922'!A1" display="'20922'!A1" xr:uid="{DACB93FE-E026-4492-95D4-62A4A7CDE4DF}"/>
    <hyperlink ref="C34" location="'20772'!A1" display="'20772'!A1" xr:uid="{E2146988-DDA0-4939-858D-0493332D8520}"/>
    <hyperlink ref="C59" location="'20982'!A1" display="'20982'!A1" xr:uid="{2C0D124B-7CDE-4C8A-B688-7DDE35A20234}"/>
    <hyperlink ref="W1" location="'JE LOG_FY25'!A1" display="'JE LOG_FY25'!A1" xr:uid="{27F88C9C-3592-4973-933C-DA84C39B9FC4}"/>
    <hyperlink ref="C37" location="'20812'!A1" display="'20812'!A1" xr:uid="{5B2A3E53-2DE2-4F62-83A6-BCC62B092A70}"/>
    <hyperlink ref="C60" location="'20984'!A1" display="'20984'!A1" xr:uid="{4FE55E87-CD0F-4AE8-85DA-E42C935DC626}"/>
    <hyperlink ref="C61" location="'21004'!A1" display="'21004'!A1" xr:uid="{39EC9F03-2100-4A68-B3A0-F1D90D52DF54}"/>
    <hyperlink ref="C53" location="'20940'!A1" display="'20940'!A1" xr:uid="{EE3676D0-B4DA-4B0D-B3D5-01778F90130E}"/>
    <hyperlink ref="C57" location="'20962'!A1" display="'20962'!A1" xr:uid="{BE5F856B-008D-4000-8068-6123FA77AA69}"/>
  </hyperlink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EEF1-D88B-4EE5-8B38-BB408A186926}">
  <sheetPr>
    <tabColor theme="3" tint="0.39997558519241921"/>
  </sheetPr>
  <dimension ref="A2:O145"/>
  <sheetViews>
    <sheetView topLeftCell="A76" zoomScale="95" zoomScaleNormal="95" workbookViewId="0">
      <selection activeCell="C78" sqref="C78"/>
    </sheetView>
  </sheetViews>
  <sheetFormatPr defaultRowHeight="14.6" outlineLevelCol="1" x14ac:dyDescent="0.4"/>
  <cols>
    <col min="1" max="1" width="4.3046875" customWidth="1"/>
    <col min="2" max="2" width="3.53515625" bestFit="1" customWidth="1"/>
    <col min="3" max="3" width="6.69140625" bestFit="1" customWidth="1"/>
    <col min="4" max="4" width="29.3046875" bestFit="1" customWidth="1"/>
    <col min="5" max="5" width="64.3046875" bestFit="1" customWidth="1"/>
    <col min="6" max="6" width="20.69140625" customWidth="1"/>
    <col min="7" max="7" width="13.84375" bestFit="1" customWidth="1"/>
    <col min="8" max="8" width="14.07421875" customWidth="1"/>
    <col min="9" max="10" width="12" style="21" customWidth="1" outlineLevel="1"/>
    <col min="11" max="12" width="14.07421875" customWidth="1"/>
    <col min="13" max="13" width="12.07421875" hidden="1" customWidth="1" outlineLevel="1"/>
    <col min="14" max="14" width="11.07421875" bestFit="1" customWidth="1" collapsed="1"/>
    <col min="15" max="15" width="10.53515625" bestFit="1" customWidth="1"/>
  </cols>
  <sheetData>
    <row r="2" spans="1:12" x14ac:dyDescent="0.4">
      <c r="A2" s="280" t="s">
        <v>280</v>
      </c>
      <c r="B2" s="148"/>
      <c r="C2" s="148" t="s">
        <v>461</v>
      </c>
      <c r="D2" s="148" t="s">
        <v>114</v>
      </c>
      <c r="E2" s="148" t="s">
        <v>87</v>
      </c>
      <c r="F2" s="220" t="s">
        <v>128</v>
      </c>
      <c r="G2" s="220" t="s">
        <v>129</v>
      </c>
      <c r="H2" s="159" t="s">
        <v>284</v>
      </c>
      <c r="I2" s="149" t="s">
        <v>249</v>
      </c>
      <c r="J2" s="149" t="s">
        <v>282</v>
      </c>
      <c r="K2" s="165" t="s">
        <v>281</v>
      </c>
      <c r="L2" s="166" t="s">
        <v>250</v>
      </c>
    </row>
    <row r="3" spans="1:12" ht="14.7" customHeight="1" x14ac:dyDescent="0.4">
      <c r="A3" s="280"/>
      <c r="B3" s="96">
        <v>1</v>
      </c>
      <c r="C3">
        <v>10085</v>
      </c>
      <c r="D3" t="str">
        <f>VLOOKUP(C3,'Project Status'!C:H,6,FALSE)</f>
        <v>ONE MAGNOLIA CIRCLE</v>
      </c>
      <c r="E3" t="str">
        <f>VLOOKUP(C3,'Project Status'!C:I,7,FALSE)</f>
        <v>One Magnolia Circle - Modify/Upgrade Electrical and Grounding</v>
      </c>
      <c r="F3" t="str">
        <f>VLOOKUP(C3,'Project Status'!C:K,8,FALSE)</f>
        <v>Complete</v>
      </c>
      <c r="G3" t="str">
        <f>VLOOKUP(C3,'Project Status'!C:L,9,FALSE)</f>
        <v>Finalized</v>
      </c>
      <c r="H3" s="279">
        <v>9364499</v>
      </c>
      <c r="I3" s="21">
        <f>VLOOKUP(C3,'Project Status'!C:S,17,FALSE)</f>
        <v>17500</v>
      </c>
      <c r="K3" s="147">
        <f>SUM(I3:J3)</f>
        <v>17500</v>
      </c>
      <c r="L3" s="170"/>
    </row>
    <row r="4" spans="1:12" x14ac:dyDescent="0.4">
      <c r="A4" s="280"/>
      <c r="B4" s="96">
        <v>2</v>
      </c>
      <c r="C4">
        <v>10098</v>
      </c>
      <c r="D4" t="str">
        <f>VLOOKUP(C4,'Project Status'!C:H,6,FALSE)</f>
        <v>MRB III BIO/SCI</v>
      </c>
      <c r="E4" t="str">
        <f>VLOOKUP(C4,'Project Status'!C:I,7,FALSE)</f>
        <v>MRB III - 4th Floor - Replace Controls (Phase 2)</v>
      </c>
      <c r="F4" t="s">
        <v>231</v>
      </c>
      <c r="G4" t="str">
        <f>VLOOKUP(C4,'Project Status'!C:L,9,FALSE)</f>
        <v>Finalized</v>
      </c>
      <c r="H4" s="279"/>
      <c r="I4" s="21">
        <f>VLOOKUP(C4,'Project Status'!C:S,17,FALSE)</f>
        <v>1216485.5</v>
      </c>
      <c r="K4" s="147">
        <f t="shared" ref="K4:K31" si="0">SUM(I4:J4)</f>
        <v>1216485.5</v>
      </c>
      <c r="L4" s="170"/>
    </row>
    <row r="5" spans="1:12" x14ac:dyDescent="0.4">
      <c r="A5" s="280"/>
      <c r="B5" s="96">
        <v>3</v>
      </c>
      <c r="C5">
        <v>10146</v>
      </c>
      <c r="D5" t="str">
        <f>VLOOKUP(C5,'Project Status'!C:H,6,FALSE)</f>
        <v>GODCHAUX HALL</v>
      </c>
      <c r="E5" t="str">
        <f>VLOOKUP(C5,'Project Status'!C:I,7,FALSE)</f>
        <v>Godchaux Hall - HVAC Upgrade</v>
      </c>
      <c r="F5" t="s">
        <v>100</v>
      </c>
      <c r="G5" t="str">
        <f>VLOOKUP(C5,'Project Status'!C:L,9,FALSE)</f>
        <v>Financial Closeout</v>
      </c>
      <c r="H5" s="279"/>
      <c r="I5" s="21">
        <f>VLOOKUP(C5,'Project Status'!C:S,17,FALSE)</f>
        <v>4900</v>
      </c>
      <c r="K5" s="147">
        <f t="shared" si="0"/>
        <v>4900</v>
      </c>
      <c r="L5" s="170"/>
    </row>
    <row r="6" spans="1:12" x14ac:dyDescent="0.4">
      <c r="A6" s="280"/>
      <c r="B6" s="96">
        <v>4</v>
      </c>
      <c r="C6">
        <v>20179</v>
      </c>
      <c r="D6" t="str">
        <f>VLOOKUP(C6,'Project Status'!C:H,6,FALSE)</f>
        <v>LAW SCHOOL</v>
      </c>
      <c r="E6" t="str">
        <f>VLOOKUP(C6,'Project Status'!C:I,7,FALSE)</f>
        <v>Law School - Fire Alarm System Replacement</v>
      </c>
      <c r="F6" t="s">
        <v>231</v>
      </c>
      <c r="G6" t="str">
        <f>VLOOKUP(C6,'Project Status'!C:L,9,FALSE)</f>
        <v>Finalized</v>
      </c>
      <c r="H6" s="279"/>
      <c r="I6" s="21">
        <f>VLOOKUP(C6,'Project Status'!C:S,17,FALSE)</f>
        <v>722694.5</v>
      </c>
      <c r="K6" s="147">
        <f t="shared" si="0"/>
        <v>722694.5</v>
      </c>
      <c r="L6" s="170"/>
    </row>
    <row r="7" spans="1:12" x14ac:dyDescent="0.4">
      <c r="A7" s="280"/>
      <c r="B7" s="96">
        <v>5</v>
      </c>
      <c r="C7">
        <v>20336</v>
      </c>
      <c r="D7" t="str">
        <f>VLOOKUP(C7,'Project Status'!C:H,6,FALSE)</f>
        <v>BLAIR SCHOOL OF MUSIC</v>
      </c>
      <c r="E7" t="str">
        <f>VLOOKUP(C7,'Project Status'!C:I,7,FALSE)</f>
        <v>Blair School of Music - Elevator #3 Modernization</v>
      </c>
      <c r="F7" t="s">
        <v>101</v>
      </c>
      <c r="G7" t="str">
        <f>VLOOKUP(C7,'Project Status'!C:L,9,FALSE)</f>
        <v>Finalized</v>
      </c>
      <c r="H7" s="279"/>
      <c r="I7" s="21">
        <f>VLOOKUP(C7,'Project Status'!C:S,17,FALSE)</f>
        <v>327890</v>
      </c>
      <c r="K7" s="147">
        <f t="shared" si="0"/>
        <v>327890</v>
      </c>
      <c r="L7" s="170"/>
    </row>
    <row r="8" spans="1:12" x14ac:dyDescent="0.4">
      <c r="A8" s="280"/>
      <c r="B8" s="96">
        <v>6</v>
      </c>
      <c r="C8">
        <v>20431</v>
      </c>
      <c r="D8" t="str">
        <f>VLOOKUP(C8,'Project Status'!C:H,6,FALSE)</f>
        <v>DIVINITY</v>
      </c>
      <c r="E8" t="str">
        <f>VLOOKUP(C8,'Project Status'!C:I,7,FALSE)</f>
        <v>Divinity Air Handling Unit Replacement, (5/6)- Phase 1</v>
      </c>
      <c r="F8" t="s">
        <v>101</v>
      </c>
      <c r="G8" t="str">
        <f>VLOOKUP(C8,'Project Status'!C:L,9,FALSE)</f>
        <v>Warranty or Construction Closeout</v>
      </c>
      <c r="H8" s="279"/>
      <c r="I8" s="21">
        <f>VLOOKUP(C8,'Project Status'!C:S,17,FALSE)</f>
        <v>69862.5</v>
      </c>
      <c r="K8" s="147">
        <f t="shared" si="0"/>
        <v>69862.5</v>
      </c>
      <c r="L8" s="170"/>
    </row>
    <row r="9" spans="1:12" x14ac:dyDescent="0.4">
      <c r="A9" s="280"/>
      <c r="B9" s="96">
        <v>7</v>
      </c>
      <c r="C9">
        <v>20478</v>
      </c>
      <c r="D9" t="str">
        <f>VLOOKUP(C9,'Project Status'!C:H,6,FALSE)</f>
        <v>BRYAN BLDG</v>
      </c>
      <c r="E9" t="str">
        <f>VLOOKUP(C9,'Project Status'!C:I,7,FALSE)</f>
        <v>Bryan Building - Swing Space Renovation - A&amp;S Planning</v>
      </c>
      <c r="F9" t="s">
        <v>223</v>
      </c>
      <c r="G9" t="str">
        <f>VLOOKUP(C9,'Project Status'!C:L,9,FALSE)</f>
        <v>Warranty or Construction Closeout</v>
      </c>
      <c r="H9" s="279"/>
      <c r="I9" s="21">
        <f>VLOOKUP(C9,'Project Status'!C:S,17,FALSE)</f>
        <v>81100</v>
      </c>
      <c r="K9" s="147">
        <f t="shared" si="0"/>
        <v>81100</v>
      </c>
      <c r="L9" s="170"/>
    </row>
    <row r="10" spans="1:12" x14ac:dyDescent="0.4">
      <c r="A10" s="280"/>
      <c r="B10" s="96">
        <v>8</v>
      </c>
      <c r="C10">
        <v>20489</v>
      </c>
      <c r="D10" t="str">
        <f>VLOOKUP(C10,'Project Status'!C:H,6,FALSE)</f>
        <v>DIVINITY</v>
      </c>
      <c r="E10" t="str">
        <f>VLOOKUP(C10,'Project Status'!C:I,7,FALSE)</f>
        <v>Divinity Air Handling Unit Replacement,(1/3) - Phase 2 with Benton - FY26</v>
      </c>
      <c r="F10" t="s">
        <v>100</v>
      </c>
      <c r="G10" t="str">
        <f>VLOOKUP(C10,'Project Status'!C:L,9,FALSE)</f>
        <v>Design</v>
      </c>
      <c r="H10" s="279"/>
      <c r="I10" s="21">
        <f>VLOOKUP(C10,'Project Status'!C:S,17,FALSE)</f>
        <v>26500</v>
      </c>
      <c r="K10" s="147">
        <f t="shared" si="0"/>
        <v>26500</v>
      </c>
      <c r="L10" s="170"/>
    </row>
    <row r="11" spans="1:12" x14ac:dyDescent="0.4">
      <c r="A11" s="280"/>
      <c r="B11" s="96">
        <v>9</v>
      </c>
      <c r="C11">
        <v>20497</v>
      </c>
      <c r="D11" t="str">
        <f>VLOOKUP(C11,'Project Status'!C:H,6,FALSE)</f>
        <v>JESUP PSYCHOLOGY</v>
      </c>
      <c r="E11" t="str">
        <f>VLOOKUP(C11,'Project Status'!C:I,7,FALSE)</f>
        <v>Jesup - Roof Replacement</v>
      </c>
      <c r="F11" t="s">
        <v>101</v>
      </c>
      <c r="G11" t="str">
        <f>VLOOKUP(C11,'Project Status'!C:L,9,FALSE)</f>
        <v>Finalized</v>
      </c>
      <c r="H11" s="279"/>
      <c r="I11" s="21">
        <f>VLOOKUP(C11,'Project Status'!C:S,17,FALSE)</f>
        <v>79415.5</v>
      </c>
      <c r="K11" s="147">
        <f t="shared" si="0"/>
        <v>79415.5</v>
      </c>
      <c r="L11" s="170"/>
    </row>
    <row r="12" spans="1:12" x14ac:dyDescent="0.4">
      <c r="A12" s="280"/>
      <c r="B12" s="96">
        <v>10</v>
      </c>
      <c r="C12">
        <v>20506</v>
      </c>
      <c r="D12" t="str">
        <f>VLOOKUP(C12,'Project Status'!C:H,6,FALSE)</f>
        <v>WYATT CENTER</v>
      </c>
      <c r="E12" t="str">
        <f>VLOOKUP(C12,'Project Status'!C:I,7,FALSE)</f>
        <v>Wyatt Center - Window Replacement</v>
      </c>
      <c r="F12" t="s">
        <v>101</v>
      </c>
      <c r="G12" t="str">
        <f>VLOOKUP(C12,'Project Status'!C:L,9,FALSE)</f>
        <v>Finalized</v>
      </c>
      <c r="H12" s="279"/>
      <c r="I12" s="21">
        <f>VLOOKUP(C12,'Project Status'!C:S,17,FALSE)</f>
        <v>344155.26</v>
      </c>
      <c r="K12" s="147">
        <f t="shared" si="0"/>
        <v>344155.26</v>
      </c>
      <c r="L12" s="170"/>
    </row>
    <row r="13" spans="1:12" x14ac:dyDescent="0.4">
      <c r="A13" s="280"/>
      <c r="B13" s="96">
        <v>11</v>
      </c>
      <c r="C13">
        <v>20562</v>
      </c>
      <c r="D13" t="str">
        <f>VLOOKUP(C13,'Project Status'!C:H,6,FALSE)</f>
        <v>WYATT CENTER</v>
      </c>
      <c r="E13" t="str">
        <f>VLOOKUP(C13,'Project Status'!C:I,7,FALSE)</f>
        <v>Wyatt Center - VAV Replacement</v>
      </c>
      <c r="F13" t="s">
        <v>101</v>
      </c>
      <c r="G13" t="str">
        <f>VLOOKUP(C13,'Project Status'!C:L,9,FALSE)</f>
        <v>Finalized</v>
      </c>
      <c r="H13" s="279"/>
      <c r="I13" s="21">
        <f>VLOOKUP(C13,'Project Status'!C:S,17,FALSE)</f>
        <v>405791</v>
      </c>
      <c r="K13" s="147">
        <f t="shared" si="0"/>
        <v>405791</v>
      </c>
      <c r="L13" s="170"/>
    </row>
    <row r="14" spans="1:12" x14ac:dyDescent="0.4">
      <c r="A14" s="280"/>
      <c r="B14" s="96">
        <v>12</v>
      </c>
      <c r="C14">
        <v>20566</v>
      </c>
      <c r="D14" t="str">
        <f>VLOOKUP(C14,'Project Status'!C:H,6,FALSE)</f>
        <v>SC CHEMISTRY</v>
      </c>
      <c r="E14" t="str">
        <f>VLOOKUP(C14,'Project Status'!C:I,7,FALSE)</f>
        <v>SC Chemistry (SC7) - Elevator 1 &amp; 2 Modernization</v>
      </c>
      <c r="F14" t="s">
        <v>101</v>
      </c>
      <c r="G14" t="str">
        <f>VLOOKUP(C14,'Project Status'!C:L,9,FALSE)</f>
        <v>Finalized</v>
      </c>
      <c r="H14" s="279"/>
      <c r="I14" s="21">
        <f>VLOOKUP(C14,'Project Status'!C:S,17,FALSE)</f>
        <v>781870</v>
      </c>
      <c r="K14" s="147">
        <f t="shared" si="0"/>
        <v>781870</v>
      </c>
      <c r="L14" s="170"/>
    </row>
    <row r="15" spans="1:12" x14ac:dyDescent="0.4">
      <c r="A15" s="280"/>
      <c r="B15" s="96">
        <v>13</v>
      </c>
      <c r="C15">
        <v>20573</v>
      </c>
      <c r="D15" t="str">
        <f>VLOOKUP(C15,'Project Status'!C:H,6,FALSE)</f>
        <v>WYATT CENTER</v>
      </c>
      <c r="E15" t="str">
        <f>VLOOKUP(C15,'Project Status'!C:I,7,FALSE)</f>
        <v>Wyatt Center - Roof Replacement</v>
      </c>
      <c r="F15" t="s">
        <v>101</v>
      </c>
      <c r="G15" t="str">
        <f>VLOOKUP(C15,'Project Status'!C:L,9,FALSE)</f>
        <v>Finalized</v>
      </c>
      <c r="H15" s="279"/>
      <c r="I15" s="21">
        <f>VLOOKUP(C15,'Project Status'!C:S,17,FALSE)</f>
        <v>1232681</v>
      </c>
      <c r="K15" s="147">
        <f t="shared" si="0"/>
        <v>1232681</v>
      </c>
      <c r="L15" s="170"/>
    </row>
    <row r="16" spans="1:12" x14ac:dyDescent="0.4">
      <c r="A16" s="280"/>
      <c r="B16" s="96">
        <v>14</v>
      </c>
      <c r="C16">
        <v>20574</v>
      </c>
      <c r="D16" t="str">
        <f>VLOOKUP(C16,'Project Status'!C:H,6,FALSE)</f>
        <v>MRB III BIO/SCI</v>
      </c>
      <c r="E16" t="str">
        <f>VLOOKUP(C16,'Project Status'!C:I,7,FALSE)</f>
        <v>MRB III - Steam Coil Replacement</v>
      </c>
      <c r="F16" t="s">
        <v>101</v>
      </c>
      <c r="G16" t="str">
        <f>VLOOKUP(C16,'Project Status'!C:L,9,FALSE)</f>
        <v>Finalized</v>
      </c>
      <c r="H16" s="279"/>
      <c r="I16" s="21">
        <f>VLOOKUP(C16,'Project Status'!C:S,17,FALSE)</f>
        <v>218202</v>
      </c>
      <c r="K16" s="147">
        <f t="shared" si="0"/>
        <v>218202</v>
      </c>
      <c r="L16" s="170"/>
    </row>
    <row r="17" spans="1:12" x14ac:dyDescent="0.4">
      <c r="A17" s="280"/>
      <c r="B17" s="96">
        <v>15</v>
      </c>
      <c r="C17">
        <v>20577</v>
      </c>
      <c r="D17" t="str">
        <f>VLOOKUP(C17,'Project Status'!C:H,6,FALSE)</f>
        <v>BLAIR SCHOOL OF MUSIC</v>
      </c>
      <c r="E17" t="str">
        <f>VLOOKUP(C17,'Project Status'!C:I,7,FALSE)</f>
        <v>Blair School of Music - AHU - 1 Replacement - Phase 1 - FY25</v>
      </c>
      <c r="F17" t="s">
        <v>100</v>
      </c>
      <c r="G17" t="str">
        <f>VLOOKUP(C17,'Project Status'!C:L,9,FALSE)</f>
        <v>Construction</v>
      </c>
      <c r="H17" s="279"/>
      <c r="I17" s="21">
        <f>VLOOKUP(C17,'Project Status'!C:S,17,FALSE)</f>
        <v>223000</v>
      </c>
      <c r="K17" s="147">
        <f t="shared" si="0"/>
        <v>223000</v>
      </c>
      <c r="L17" s="170"/>
    </row>
    <row r="18" spans="1:12" x14ac:dyDescent="0.4">
      <c r="A18" s="280"/>
      <c r="B18" s="96">
        <v>16</v>
      </c>
      <c r="C18">
        <v>20644</v>
      </c>
      <c r="D18" t="str">
        <f>VLOOKUP(C18,'Project Status'!C:H,6,FALSE)</f>
        <v>PEABODY ADMINISTRATION</v>
      </c>
      <c r="E18" t="str">
        <f>VLOOKUP(C18,'Project Status'!C:I,7,FALSE)</f>
        <v>Peabody Administration - Envelope Repairs</v>
      </c>
      <c r="F18" t="s">
        <v>101</v>
      </c>
      <c r="G18" t="str">
        <f>VLOOKUP(C18,'Project Status'!C:L,9,FALSE)</f>
        <v>Finalized</v>
      </c>
      <c r="H18" s="279"/>
      <c r="I18" s="21">
        <f>VLOOKUP(C18,'Project Status'!C:S,17,FALSE)</f>
        <v>630554</v>
      </c>
      <c r="K18" s="147">
        <f t="shared" si="0"/>
        <v>630554</v>
      </c>
      <c r="L18" s="170"/>
    </row>
    <row r="19" spans="1:12" x14ac:dyDescent="0.4">
      <c r="A19" s="280"/>
      <c r="B19" s="96">
        <v>17</v>
      </c>
      <c r="C19">
        <v>20645</v>
      </c>
      <c r="D19" t="str">
        <f>VLOOKUP(C19,'Project Status'!C:H,6,FALSE)</f>
        <v>BENSON OLD CENTRAL</v>
      </c>
      <c r="E19" t="str">
        <f>VLOOKUP(C19,'Project Status'!C:I,7,FALSE)</f>
        <v>Benson Old Central - Replace Soffit and Doors</v>
      </c>
      <c r="F19" t="s">
        <v>178</v>
      </c>
      <c r="G19" t="str">
        <f>VLOOKUP(C19,'Project Status'!C:L,9,FALSE)</f>
        <v>Finalized</v>
      </c>
      <c r="H19" s="279"/>
      <c r="I19" s="21">
        <f>VLOOKUP(C19,'Project Status'!C:S,17,FALSE)</f>
        <v>125875</v>
      </c>
      <c r="K19" s="147">
        <f t="shared" si="0"/>
        <v>125875</v>
      </c>
      <c r="L19" s="170"/>
    </row>
    <row r="20" spans="1:12" x14ac:dyDescent="0.4">
      <c r="A20" s="280"/>
      <c r="B20" s="96">
        <v>18</v>
      </c>
      <c r="C20">
        <v>20667</v>
      </c>
      <c r="D20" t="str">
        <f>VLOOKUP(C20,'Project Status'!C:H,6,FALSE)</f>
        <v>1025 16TH AVE S</v>
      </c>
      <c r="E20" t="str">
        <f>VLOOKUP(C20,'Project Status'!C:I,7,FALSE)</f>
        <v>1025 16th Avenue - Mechanical and Electrical Upgrades</v>
      </c>
      <c r="F20" t="s">
        <v>100</v>
      </c>
      <c r="G20" t="str">
        <f>VLOOKUP(C20,'Project Status'!C:L,9,FALSE)</f>
        <v>Award</v>
      </c>
      <c r="H20" s="279"/>
      <c r="I20" s="21">
        <f>VLOOKUP(C20,'Project Status'!C:S,17,FALSE)</f>
        <v>146500</v>
      </c>
      <c r="K20" s="147">
        <f t="shared" si="0"/>
        <v>146500</v>
      </c>
      <c r="L20" s="170"/>
    </row>
    <row r="21" spans="1:12" x14ac:dyDescent="0.4">
      <c r="A21" s="280"/>
      <c r="B21" s="96">
        <v>19</v>
      </c>
      <c r="C21">
        <v>20668</v>
      </c>
      <c r="D21" t="str">
        <f>VLOOKUP(C21,'Project Status'!C:H,6,FALSE)</f>
        <v>KECK FREE ELECTRON LASER CTR</v>
      </c>
      <c r="E21" t="str">
        <f>VLOOKUP(C21,'Project Status'!C:I,7,FALSE)</f>
        <v>Keck FEL - Mechanical Upgrades</v>
      </c>
      <c r="F21" t="s">
        <v>100</v>
      </c>
      <c r="G21" t="str">
        <f>VLOOKUP(C21,'Project Status'!C:L,9,FALSE)</f>
        <v>Design</v>
      </c>
      <c r="H21" s="279"/>
      <c r="I21" s="21">
        <f>VLOOKUP(C21,'Project Status'!C:S,17,FALSE)</f>
        <v>206500</v>
      </c>
      <c r="K21" s="147">
        <f t="shared" si="0"/>
        <v>206500</v>
      </c>
      <c r="L21" s="170"/>
    </row>
    <row r="22" spans="1:12" x14ac:dyDescent="0.4">
      <c r="A22" s="280"/>
      <c r="B22" s="96">
        <v>20</v>
      </c>
      <c r="C22">
        <v>20698</v>
      </c>
      <c r="D22" t="str">
        <f>VLOOKUP(C22,'Project Status'!C:H,6,FALSE)</f>
        <v>WILSON HALL</v>
      </c>
      <c r="E22" t="str">
        <f>VLOOKUP(C22,'Project Status'!C:I,7,FALSE)</f>
        <v>Wilson Hall - Fire Alarm Replacement</v>
      </c>
      <c r="F22" t="s">
        <v>100</v>
      </c>
      <c r="G22" t="str">
        <f>VLOOKUP(C22,'Project Status'!C:L,9,FALSE)</f>
        <v>Financial Closeout</v>
      </c>
      <c r="H22" s="279"/>
      <c r="I22" s="21">
        <f>VLOOKUP(C22,'Project Status'!C:S,17,FALSE)</f>
        <v>29250</v>
      </c>
      <c r="K22" s="147">
        <f t="shared" si="0"/>
        <v>29250</v>
      </c>
      <c r="L22" s="170"/>
    </row>
    <row r="23" spans="1:12" x14ac:dyDescent="0.4">
      <c r="A23" s="280"/>
      <c r="B23" s="96">
        <v>21</v>
      </c>
      <c r="C23">
        <v>20700</v>
      </c>
      <c r="D23" t="str">
        <f>VLOOKUP(C23,'Project Status'!C:H,6,FALSE)</f>
        <v>SC CHEMISTRY</v>
      </c>
      <c r="E23" t="str">
        <f>VLOOKUP(C23,'Project Status'!C:I,7,FALSE)</f>
        <v>SC-7 Chemistry - SG-1 Removal and Connection to Central Plant Steam</v>
      </c>
      <c r="F23" t="s">
        <v>101</v>
      </c>
      <c r="G23" t="str">
        <f>VLOOKUP(C23,'Project Status'!C:L,9,FALSE)</f>
        <v>Finalized</v>
      </c>
      <c r="H23" s="279"/>
      <c r="I23" s="21">
        <f>VLOOKUP(C23,'Project Status'!C:S,17,FALSE)</f>
        <v>79623</v>
      </c>
      <c r="K23" s="147">
        <f t="shared" si="0"/>
        <v>79623</v>
      </c>
      <c r="L23" s="170"/>
    </row>
    <row r="24" spans="1:12" x14ac:dyDescent="0.4">
      <c r="A24" s="280"/>
      <c r="B24" s="96">
        <v>22</v>
      </c>
      <c r="C24">
        <v>20701</v>
      </c>
      <c r="D24" t="str">
        <f>VLOOKUP(C24,'Project Status'!C:H,6,FALSE)</f>
        <v>SC SCIENCE &amp; ENGINEERING</v>
      </c>
      <c r="E24" t="str">
        <f>VLOOKUP(C24,'Project Status'!C:I,7,FALSE)</f>
        <v>SC-5 - Chemical Discharge Replacement</v>
      </c>
      <c r="F24" t="s">
        <v>178</v>
      </c>
      <c r="G24" t="str">
        <f>VLOOKUP(C24,'Project Status'!C:L,9,FALSE)</f>
        <v>Construction</v>
      </c>
      <c r="H24" s="279"/>
      <c r="I24" s="21">
        <f>VLOOKUP(C24,'Project Status'!C:S,17,FALSE)</f>
        <v>499093</v>
      </c>
      <c r="K24" s="147">
        <f t="shared" si="0"/>
        <v>499093</v>
      </c>
      <c r="L24" s="170"/>
    </row>
    <row r="25" spans="1:12" x14ac:dyDescent="0.4">
      <c r="A25" s="280"/>
      <c r="B25" s="96">
        <v>23</v>
      </c>
      <c r="C25">
        <v>20702</v>
      </c>
      <c r="D25" t="str">
        <f>VLOOKUP(C25,'Project Status'!C:H,6,FALSE)</f>
        <v>WYATT CENTER</v>
      </c>
      <c r="E25" t="str">
        <f>VLOOKUP(C25,'Project Status'!C:I,7,FALSE)</f>
        <v>Wyatt Center - Elevator #2 Modernization</v>
      </c>
      <c r="F25" t="s">
        <v>101</v>
      </c>
      <c r="G25" t="str">
        <f>VLOOKUP(C25,'Project Status'!C:L,9,FALSE)</f>
        <v>Finalized</v>
      </c>
      <c r="H25" s="279"/>
      <c r="I25" s="21">
        <f>VLOOKUP(C25,'Project Status'!C:S,17,FALSE)</f>
        <v>239341</v>
      </c>
      <c r="K25" s="147">
        <f t="shared" si="0"/>
        <v>239341</v>
      </c>
      <c r="L25" s="170"/>
    </row>
    <row r="26" spans="1:12" x14ac:dyDescent="0.4">
      <c r="A26" s="280"/>
      <c r="B26" s="96">
        <v>24</v>
      </c>
      <c r="C26">
        <v>20718</v>
      </c>
      <c r="D26" t="str">
        <f>VLOOKUP(C26,'Project Status'!C:H,6,FALSE)</f>
        <v>BUTTRICK HALL</v>
      </c>
      <c r="E26" t="str">
        <f>VLOOKUP(C26,'Project Status'!C:I,7,FALSE)</f>
        <v>Buttrick Hall - 3rd Floor Inequality Renovations</v>
      </c>
      <c r="F26" t="s">
        <v>101</v>
      </c>
      <c r="G26" t="str">
        <f>VLOOKUP(C26,'Project Status'!C:L,9,FALSE)</f>
        <v>Finalized</v>
      </c>
      <c r="H26" s="279"/>
      <c r="I26" s="21">
        <f>VLOOKUP(C26,'Project Status'!C:S,17,FALSE)</f>
        <v>96166</v>
      </c>
      <c r="K26" s="147">
        <f t="shared" si="0"/>
        <v>96166</v>
      </c>
      <c r="L26" s="170"/>
    </row>
    <row r="27" spans="1:12" x14ac:dyDescent="0.4">
      <c r="A27" s="280"/>
      <c r="B27" s="96">
        <v>25</v>
      </c>
      <c r="C27">
        <v>20723</v>
      </c>
      <c r="D27" t="str">
        <f>VLOOKUP(C27,'Project Status'!C:H,6,FALSE)</f>
        <v>MRB III BIO/SCI</v>
      </c>
      <c r="E27" t="str">
        <f>VLOOKUP(C27,'Project Status'!C:I,7,FALSE)</f>
        <v>MRB III - 9th Floor (with 4 ,5 &amp; 8) - Replace Controls (Phase 3)</v>
      </c>
      <c r="F27" t="s">
        <v>109</v>
      </c>
      <c r="G27" t="str">
        <f>VLOOKUP(C27,'Project Status'!C:L,9,FALSE)</f>
        <v>Award</v>
      </c>
      <c r="H27" s="279"/>
      <c r="I27" s="21">
        <f>VLOOKUP(C27,'Project Status'!C:S,17,FALSE)</f>
        <v>160500</v>
      </c>
      <c r="K27" s="147">
        <f t="shared" si="0"/>
        <v>160500</v>
      </c>
      <c r="L27" s="170"/>
    </row>
    <row r="28" spans="1:12" x14ac:dyDescent="0.4">
      <c r="A28" s="280"/>
      <c r="B28" s="96">
        <v>26</v>
      </c>
      <c r="C28">
        <v>20724</v>
      </c>
      <c r="D28" t="str">
        <f>VLOOKUP(C28,'Project Status'!C:H,6,FALSE)</f>
        <v>BLAIR SCHOOL OF MUSIC</v>
      </c>
      <c r="E28" t="str">
        <f>VLOOKUP(C28,'Project Status'!C:I,7,FALSE)</f>
        <v>Blair School of Music - Steam Line - FY 23</v>
      </c>
      <c r="F28" t="s">
        <v>100</v>
      </c>
      <c r="G28" t="str">
        <f>VLOOKUP(C28,'Project Status'!C:L,9,FALSE)</f>
        <v>Warranty or Construction Closeout</v>
      </c>
      <c r="H28" s="279"/>
      <c r="I28" s="21">
        <f>VLOOKUP(C28,'Project Status'!C:S,17,FALSE)</f>
        <v>23400</v>
      </c>
      <c r="K28" s="147">
        <f t="shared" si="0"/>
        <v>23400</v>
      </c>
      <c r="L28" s="170"/>
    </row>
    <row r="29" spans="1:12" x14ac:dyDescent="0.4">
      <c r="A29" s="280"/>
      <c r="B29" s="96">
        <v>27</v>
      </c>
      <c r="C29">
        <v>20735</v>
      </c>
      <c r="D29" t="str">
        <f>VLOOKUP(C29,'Project Status'!C:H,6,FALSE)</f>
        <v>OWEN GRAD MGMT</v>
      </c>
      <c r="E29" t="str">
        <f>VLOOKUP(C29,'Project Status'!C:I,7,FALSE)</f>
        <v>Owen - Roof Replacement (Third Level)</v>
      </c>
      <c r="F29" t="s">
        <v>101</v>
      </c>
      <c r="G29" t="str">
        <f>VLOOKUP(C29,'Project Status'!C:L,9,FALSE)</f>
        <v>Finalized</v>
      </c>
      <c r="H29" s="279"/>
      <c r="I29" s="21">
        <f>VLOOKUP(C29,'Project Status'!C:S,17,FALSE)</f>
        <v>300000</v>
      </c>
      <c r="K29" s="147">
        <f t="shared" si="0"/>
        <v>300000</v>
      </c>
      <c r="L29" s="170"/>
    </row>
    <row r="30" spans="1:12" x14ac:dyDescent="0.4">
      <c r="A30" s="280"/>
      <c r="B30" s="96">
        <v>28</v>
      </c>
      <c r="C30">
        <v>20771</v>
      </c>
      <c r="D30" t="str">
        <f>VLOOKUP(C30,'Project Status'!C:H,6,FALSE)</f>
        <v>SC CHEMISTRY</v>
      </c>
      <c r="E30" t="str">
        <f>VLOOKUP(C30,'Project Status'!C:I,7,FALSE)</f>
        <v>SC4 - Interstitial Space HVAC Modifications</v>
      </c>
      <c r="F30" t="s">
        <v>101</v>
      </c>
      <c r="G30" t="str">
        <f>VLOOKUP(C30,'Project Status'!C:L,9,FALSE)</f>
        <v>Finalized</v>
      </c>
      <c r="H30" s="279"/>
      <c r="I30" s="21">
        <f>VLOOKUP(C30,'Project Status'!C:S,17,FALSE)</f>
        <v>24997</v>
      </c>
      <c r="K30" s="147">
        <f t="shared" si="0"/>
        <v>24997</v>
      </c>
      <c r="L30" s="170"/>
    </row>
    <row r="31" spans="1:12" x14ac:dyDescent="0.4">
      <c r="A31" s="280"/>
      <c r="B31" s="96">
        <v>29</v>
      </c>
      <c r="C31">
        <v>20792</v>
      </c>
      <c r="D31" t="str">
        <f>VLOOKUP(C31,'Project Status'!C:H,6,FALSE)</f>
        <v>LAW SCHOOL</v>
      </c>
      <c r="E31" t="str">
        <f>VLOOKUP(C31,'Project Status'!C:I,7,FALSE)</f>
        <v>Law School - Sections 1, 2, &amp; 3  Roof Replacement</v>
      </c>
      <c r="F31" t="s">
        <v>178</v>
      </c>
      <c r="G31" t="str">
        <f>VLOOKUP(C31,'Project Status'!C:L,9,FALSE)</f>
        <v>Finalized</v>
      </c>
      <c r="H31" s="279"/>
      <c r="I31" s="21">
        <f>VLOOKUP(C31,'Project Status'!C:S,17,FALSE)</f>
        <v>483440</v>
      </c>
      <c r="K31" s="147">
        <f t="shared" si="0"/>
        <v>483440</v>
      </c>
      <c r="L31" s="170"/>
    </row>
    <row r="32" spans="1:12" x14ac:dyDescent="0.4">
      <c r="H32" s="279"/>
      <c r="I32" s="150">
        <f t="shared" ref="I32:J32" si="1">SUM(I3:I31)</f>
        <v>8797286.2599999998</v>
      </c>
      <c r="J32" s="150">
        <f t="shared" si="1"/>
        <v>0</v>
      </c>
      <c r="K32" s="150">
        <f>SUM(K3:K31)</f>
        <v>8797286.2599999998</v>
      </c>
      <c r="L32" s="150">
        <f>H3-K32</f>
        <v>567212.74000000022</v>
      </c>
    </row>
    <row r="33" spans="1:14" x14ac:dyDescent="0.4">
      <c r="I33" s="224" t="b">
        <f>I32='Project Status'!S81</f>
        <v>1</v>
      </c>
    </row>
    <row r="34" spans="1:14" x14ac:dyDescent="0.4">
      <c r="A34" s="281" t="s">
        <v>283</v>
      </c>
      <c r="B34" s="151"/>
      <c r="C34" s="151" t="s">
        <v>461</v>
      </c>
      <c r="D34" s="151" t="s">
        <v>114</v>
      </c>
      <c r="E34" s="151" t="s">
        <v>87</v>
      </c>
      <c r="F34" s="221" t="s">
        <v>128</v>
      </c>
      <c r="G34" s="221" t="s">
        <v>129</v>
      </c>
      <c r="H34" s="160" t="s">
        <v>284</v>
      </c>
      <c r="I34" s="152" t="s">
        <v>249</v>
      </c>
      <c r="J34" s="152" t="s">
        <v>282</v>
      </c>
      <c r="K34" s="164" t="s">
        <v>281</v>
      </c>
      <c r="L34" s="163" t="s">
        <v>250</v>
      </c>
    </row>
    <row r="35" spans="1:14" ht="14.7" customHeight="1" x14ac:dyDescent="0.4">
      <c r="A35" s="281"/>
      <c r="B35" s="96">
        <v>1</v>
      </c>
      <c r="C35">
        <v>10146</v>
      </c>
      <c r="D35" t="str">
        <f>VLOOKUP(C35,'Project Status'!C:H,6,FALSE)</f>
        <v>GODCHAUX HALL</v>
      </c>
      <c r="E35" s="3" t="str">
        <f>VLOOKUP(C35,'Project Status'!C:I,7,FALSE)</f>
        <v>Godchaux Hall - HVAC Upgrade</v>
      </c>
      <c r="F35" s="3" t="str">
        <f>VLOOKUP(C35,'Project Status'!C:K,8,FALSE)</f>
        <v>Active</v>
      </c>
      <c r="G35" s="3" t="str">
        <f>VLOOKUP(C35,'Project Status'!C:L,9,FALSE)</f>
        <v>Financial Closeout</v>
      </c>
      <c r="H35" s="283">
        <f>Contributions!G15</f>
        <v>11029283.289999999</v>
      </c>
      <c r="I35" s="206">
        <f>VLOOKUP(C35,'Project Status'!C:T,18,FALSE)</f>
        <v>255957</v>
      </c>
      <c r="J35" s="186"/>
      <c r="K35" s="155">
        <f>IF(J35="TBD",J35,SUM(I35:J35))</f>
        <v>255957</v>
      </c>
      <c r="L35" s="169"/>
      <c r="M35" s="20" t="s">
        <v>341</v>
      </c>
    </row>
    <row r="36" spans="1:14" x14ac:dyDescent="0.4">
      <c r="A36" s="281"/>
      <c r="B36" s="96">
        <v>2</v>
      </c>
      <c r="C36">
        <v>20431</v>
      </c>
      <c r="D36" t="str">
        <f>VLOOKUP(C36,'Project Status'!C:H,6,FALSE)</f>
        <v>DIVINITY</v>
      </c>
      <c r="E36" s="3" t="str">
        <f>VLOOKUP(C36,'Project Status'!C:I,7,FALSE)</f>
        <v>Divinity Air Handling Unit Replacement, (5/6)- Phase 1</v>
      </c>
      <c r="F36" s="3" t="str">
        <f>VLOOKUP(C36,'Project Status'!C:K,8,FALSE)</f>
        <v>Active</v>
      </c>
      <c r="G36" s="3" t="str">
        <f>VLOOKUP(C36,'Project Status'!C:L,9,FALSE)</f>
        <v>Warranty or Construction Closeout</v>
      </c>
      <c r="H36" s="283"/>
      <c r="I36" s="206">
        <f>VLOOKUP(C36,'Project Status'!C:T,18,FALSE)</f>
        <v>3660360</v>
      </c>
      <c r="J36" s="186"/>
      <c r="K36" s="155">
        <f t="shared" ref="K36:K56" si="2">IF(J36="TBD",J36,SUM(I36:J36))</f>
        <v>3660360</v>
      </c>
      <c r="L36" s="169"/>
    </row>
    <row r="37" spans="1:14" x14ac:dyDescent="0.4">
      <c r="A37" s="281"/>
      <c r="B37" s="96">
        <v>3</v>
      </c>
      <c r="C37">
        <v>20478</v>
      </c>
      <c r="D37" t="str">
        <f>VLOOKUP(C37,'Project Status'!C:H,6,FALSE)</f>
        <v>BRYAN BLDG</v>
      </c>
      <c r="E37" s="3" t="str">
        <f>VLOOKUP(C37,'Project Status'!C:I,7,FALSE)</f>
        <v>Bryan Building - Swing Space Renovation - A&amp;S Planning</v>
      </c>
      <c r="F37" s="3" t="str">
        <f>VLOOKUP(C37,'Project Status'!C:K,8,FALSE)</f>
        <v>Active</v>
      </c>
      <c r="G37" s="3" t="str">
        <f>VLOOKUP(C37,'Project Status'!C:L,9,FALSE)</f>
        <v>Warranty or Construction Closeout</v>
      </c>
      <c r="H37" s="283"/>
      <c r="I37" s="206">
        <f>VLOOKUP(C37,'Project Status'!C:T,18,FALSE)</f>
        <v>1028900</v>
      </c>
      <c r="J37" s="186"/>
      <c r="K37" s="155">
        <f t="shared" si="2"/>
        <v>1028900</v>
      </c>
      <c r="L37" s="169"/>
    </row>
    <row r="38" spans="1:14" x14ac:dyDescent="0.4">
      <c r="A38" s="281"/>
      <c r="B38" s="96">
        <v>4</v>
      </c>
      <c r="C38">
        <v>20668</v>
      </c>
      <c r="D38" t="str">
        <f>VLOOKUP(C38,'Project Status'!C:H,6,FALSE)</f>
        <v>KECK FREE ELECTRON LASER CTR</v>
      </c>
      <c r="E38" s="3" t="str">
        <f>VLOOKUP(C38,'Project Status'!C:I,7,FALSE)</f>
        <v>Keck FEL - Mechanical Upgrades</v>
      </c>
      <c r="F38" s="3" t="str">
        <f>VLOOKUP(C38,'Project Status'!C:K,8,FALSE)</f>
        <v>Active</v>
      </c>
      <c r="G38" s="3" t="str">
        <f>VLOOKUP(C38,'Project Status'!C:L,9,FALSE)</f>
        <v>Design</v>
      </c>
      <c r="H38" s="283"/>
      <c r="I38" s="206">
        <f>VLOOKUP(C38,'Project Status'!C:T,18,FALSE)</f>
        <v>24933</v>
      </c>
      <c r="J38" s="186"/>
      <c r="K38" s="155">
        <f t="shared" si="2"/>
        <v>24933</v>
      </c>
      <c r="L38" s="169"/>
    </row>
    <row r="39" spans="1:14" x14ac:dyDescent="0.4">
      <c r="A39" s="281"/>
      <c r="B39" s="96">
        <v>5</v>
      </c>
      <c r="C39">
        <v>20698</v>
      </c>
      <c r="D39" t="str">
        <f>VLOOKUP(C39,'Project Status'!C:H,6,FALSE)</f>
        <v>WILSON HALL</v>
      </c>
      <c r="E39" s="3" t="str">
        <f>VLOOKUP(C39,'Project Status'!C:I,7,FALSE)</f>
        <v>Wilson Hall - Fire Alarm Replacement</v>
      </c>
      <c r="F39" s="3" t="str">
        <f>VLOOKUP(C39,'Project Status'!C:K,8,FALSE)</f>
        <v>Active</v>
      </c>
      <c r="G39" s="3" t="str">
        <f>VLOOKUP(C39,'Project Status'!C:L,9,FALSE)</f>
        <v>Financial Closeout</v>
      </c>
      <c r="H39" s="283"/>
      <c r="I39" s="206">
        <f>VLOOKUP(C39,'Project Status'!C:T,18,FALSE)</f>
        <v>649263</v>
      </c>
      <c r="J39" s="186"/>
      <c r="K39" s="155">
        <f t="shared" si="2"/>
        <v>649263</v>
      </c>
      <c r="L39" s="169"/>
    </row>
    <row r="40" spans="1:14" x14ac:dyDescent="0.4">
      <c r="A40" s="281"/>
      <c r="B40" s="96">
        <v>6</v>
      </c>
      <c r="C40">
        <v>20700</v>
      </c>
      <c r="D40" t="str">
        <f>VLOOKUP(C40,'Project Status'!C:H,6,FALSE)</f>
        <v>SC CHEMISTRY</v>
      </c>
      <c r="E40" s="3" t="str">
        <f>VLOOKUP(C40,'Project Status'!C:I,7,FALSE)</f>
        <v>SC-7 Chemistry - SG-1 Removal and Connection to Central Plant Steam</v>
      </c>
      <c r="F40" s="3" t="str">
        <f>VLOOKUP(C40,'Project Status'!C:K,8,FALSE)</f>
        <v>Complete</v>
      </c>
      <c r="G40" s="3" t="str">
        <f>VLOOKUP(C40,'Project Status'!C:L,9,FALSE)</f>
        <v>Finalized</v>
      </c>
      <c r="H40" s="283"/>
      <c r="I40" s="206">
        <f>VLOOKUP(C40,'Project Status'!C:T,18,FALSE)</f>
        <v>5954</v>
      </c>
      <c r="J40" s="186"/>
      <c r="K40" s="155">
        <f t="shared" si="2"/>
        <v>5954</v>
      </c>
      <c r="L40" s="169"/>
    </row>
    <row r="41" spans="1:14" x14ac:dyDescent="0.4">
      <c r="A41" s="281"/>
      <c r="B41" s="96">
        <v>7</v>
      </c>
      <c r="C41">
        <v>20724</v>
      </c>
      <c r="D41" t="str">
        <f>VLOOKUP(C41,'Project Status'!C:H,6,FALSE)</f>
        <v>BLAIR SCHOOL OF MUSIC</v>
      </c>
      <c r="E41" s="3" t="str">
        <f>VLOOKUP(C41,'Project Status'!C:I,7,FALSE)</f>
        <v>Blair School of Music - Steam Line - FY 23</v>
      </c>
      <c r="F41" s="3" t="str">
        <f>VLOOKUP(C41,'Project Status'!C:K,8,FALSE)</f>
        <v>Active</v>
      </c>
      <c r="G41" s="3" t="str">
        <f>VLOOKUP(C41,'Project Status'!C:L,9,FALSE)</f>
        <v>Warranty or Construction Closeout</v>
      </c>
      <c r="H41" s="283"/>
      <c r="I41" s="206">
        <f>VLOOKUP(C41,'Project Status'!C:T,18,FALSE)</f>
        <v>1964100</v>
      </c>
      <c r="J41" s="186"/>
      <c r="K41" s="155">
        <f t="shared" si="2"/>
        <v>1964100</v>
      </c>
      <c r="L41" s="169"/>
      <c r="N41" s="147"/>
    </row>
    <row r="42" spans="1:14" x14ac:dyDescent="0.4">
      <c r="A42" s="281"/>
      <c r="B42" s="96">
        <v>8</v>
      </c>
      <c r="C42">
        <v>20767</v>
      </c>
      <c r="D42" t="str">
        <f>VLOOKUP(C42,'Project Status'!C:H,6,FALSE)</f>
        <v>SIX MAGNOLIA CIRCLE</v>
      </c>
      <c r="E42" s="3" t="str">
        <f>VLOOKUP(C42,'Project Status'!C:I,7,FALSE)</f>
        <v>Six Magnolia Circle - Foundation Repairs</v>
      </c>
      <c r="F42" s="3" t="str">
        <f>VLOOKUP(C42,'Project Status'!C:K,8,FALSE)</f>
        <v>Active</v>
      </c>
      <c r="G42" s="3" t="str">
        <f>VLOOKUP(C42,'Project Status'!C:L,9,FALSE)</f>
        <v>Warranty or Construction Closeout</v>
      </c>
      <c r="H42" s="283"/>
      <c r="I42" s="206">
        <f>VLOOKUP(C42,'Project Status'!C:T,18,FALSE)</f>
        <v>148299</v>
      </c>
      <c r="J42" s="186"/>
      <c r="K42" s="155">
        <f t="shared" si="2"/>
        <v>148299</v>
      </c>
      <c r="L42" s="169"/>
    </row>
    <row r="43" spans="1:14" x14ac:dyDescent="0.4">
      <c r="A43" s="281"/>
      <c r="B43" s="96">
        <v>9</v>
      </c>
      <c r="C43">
        <v>20772</v>
      </c>
      <c r="D43" t="str">
        <f>VLOOKUP(C43,'Project Status'!C:H,6,FALSE)</f>
        <v>OWEN GRAD MGMT</v>
      </c>
      <c r="E43" s="3" t="str">
        <f>VLOOKUP(C43,'Project Status'!C:I,7,FALSE)</f>
        <v>OGSM Old Mechanical- Slate Roof &amp; Window Replacement</v>
      </c>
      <c r="F43" s="3" t="str">
        <f>VLOOKUP(C43,'Project Status'!C:K,8,FALSE)</f>
        <v>Active</v>
      </c>
      <c r="G43" s="3" t="str">
        <f>VLOOKUP(C43,'Project Status'!C:L,9,FALSE)</f>
        <v>Construction</v>
      </c>
      <c r="H43" s="283"/>
      <c r="I43" s="206">
        <f>VLOOKUP(C43,'Project Status'!C:T,18,FALSE)</f>
        <v>1600000</v>
      </c>
      <c r="J43" s="186"/>
      <c r="K43" s="155">
        <f t="shared" ref="K43" si="3">IF(J43="TBD",J43,SUM(I43:J43))</f>
        <v>1600000</v>
      </c>
      <c r="L43" s="169"/>
    </row>
    <row r="44" spans="1:14" x14ac:dyDescent="0.4">
      <c r="A44" s="281"/>
      <c r="B44" s="96">
        <v>10</v>
      </c>
      <c r="C44">
        <v>20811</v>
      </c>
      <c r="D44" t="str">
        <f>VLOOKUP(C44,'Project Status'!C:H,6,FALSE)</f>
        <v>ONE MAGNOLIA CIRCLE</v>
      </c>
      <c r="E44" s="3" t="str">
        <f>VLOOKUP(C44,'Project Status'!C:I,7,FALSE)</f>
        <v>One Magnolia Circle - Retaining Wall Repair</v>
      </c>
      <c r="F44" s="3" t="str">
        <f>VLOOKUP(C44,'Project Status'!C:K,8,FALSE)</f>
        <v>Active</v>
      </c>
      <c r="G44" s="3" t="str">
        <f>VLOOKUP(C44,'Project Status'!C:L,9,FALSE)</f>
        <v>Warranty or Construction Closeout</v>
      </c>
      <c r="H44" s="283"/>
      <c r="I44" s="206">
        <f>VLOOKUP(C44,'Project Status'!C:T,18,FALSE)</f>
        <v>285233.27</v>
      </c>
      <c r="J44" s="186"/>
      <c r="K44" s="155">
        <f t="shared" si="2"/>
        <v>285233.27</v>
      </c>
      <c r="L44" s="169"/>
    </row>
    <row r="45" spans="1:14" x14ac:dyDescent="0.4">
      <c r="A45" s="281"/>
      <c r="B45" s="96">
        <v>11</v>
      </c>
      <c r="C45">
        <v>20831</v>
      </c>
      <c r="D45" t="str">
        <f>VLOOKUP(C45,'Project Status'!C:H,6,FALSE)</f>
        <v>SC PHYSICS &amp; ASTRONOMY</v>
      </c>
      <c r="E45" s="3" t="str">
        <f>VLOOKUP(C45,'Project Status'!C:I,7,FALSE)</f>
        <v>SC6 - HVAC Upgrades - Feasibility Study</v>
      </c>
      <c r="F45" s="3" t="str">
        <f>VLOOKUP(C45,'Project Status'!C:K,8,FALSE)</f>
        <v>Complete</v>
      </c>
      <c r="G45" s="3" t="str">
        <f>VLOOKUP(C45,'Project Status'!C:L,9,FALSE)</f>
        <v>Finalized</v>
      </c>
      <c r="H45" s="283"/>
      <c r="I45" s="206">
        <f>VLOOKUP(C45,'Project Status'!C:T,18,FALSE)</f>
        <v>24000</v>
      </c>
      <c r="J45" s="186"/>
      <c r="K45" s="155">
        <f t="shared" si="2"/>
        <v>24000</v>
      </c>
      <c r="L45" s="169"/>
    </row>
    <row r="46" spans="1:14" x14ac:dyDescent="0.4">
      <c r="A46" s="281"/>
      <c r="B46" s="96">
        <v>12</v>
      </c>
      <c r="C46">
        <v>20832</v>
      </c>
      <c r="D46" t="str">
        <f>VLOOKUP(C46,'Project Status'!C:H,6,FALSE)</f>
        <v>WILSON HALL</v>
      </c>
      <c r="E46" s="3" t="str">
        <f>VLOOKUP(C46,'Project Status'!C:I,7,FALSE)</f>
        <v>Wilson Hall - HVAC Replacement</v>
      </c>
      <c r="F46" s="3" t="str">
        <f>VLOOKUP(C46,'Project Status'!C:K,8,FALSE)</f>
        <v>Complete</v>
      </c>
      <c r="G46" s="3" t="str">
        <f>VLOOKUP(C46,'Project Status'!C:L,9,FALSE)</f>
        <v>Finalized</v>
      </c>
      <c r="H46" s="283"/>
      <c r="I46" s="206">
        <f>VLOOKUP(C46,'Project Status'!C:T,18,FALSE)</f>
        <v>24000</v>
      </c>
      <c r="J46" s="186"/>
      <c r="K46" s="155">
        <f t="shared" si="2"/>
        <v>24000</v>
      </c>
      <c r="L46" s="169"/>
    </row>
    <row r="47" spans="1:14" x14ac:dyDescent="0.4">
      <c r="A47" s="281"/>
      <c r="B47" s="96">
        <v>13</v>
      </c>
      <c r="C47">
        <v>20833</v>
      </c>
      <c r="D47" t="str">
        <f>VLOOKUP(C47,'Project Status'!C:H,6,FALSE)</f>
        <v>SC SCIENCE &amp; ENGINEERING</v>
      </c>
      <c r="E47" s="3" t="str">
        <f>VLOOKUP(C47,'Project Status'!C:I,7,FALSE)</f>
        <v>SC5 - HVAC Replacement (Design Services)</v>
      </c>
      <c r="F47" s="3" t="str">
        <f>VLOOKUP(C47,'Project Status'!C:K,8,FALSE)</f>
        <v>Complete</v>
      </c>
      <c r="G47" s="3" t="str">
        <f>VLOOKUP(C47,'Project Status'!C:L,9,FALSE)</f>
        <v>Finalized</v>
      </c>
      <c r="H47" s="283"/>
      <c r="I47" s="206">
        <f>VLOOKUP(C47,'Project Status'!C:T,18,FALSE)</f>
        <v>24000</v>
      </c>
      <c r="J47" s="186"/>
      <c r="K47" s="155">
        <f t="shared" si="2"/>
        <v>24000</v>
      </c>
      <c r="L47" s="169"/>
    </row>
    <row r="48" spans="1:14" x14ac:dyDescent="0.4">
      <c r="A48" s="281"/>
      <c r="B48" s="96">
        <v>14</v>
      </c>
      <c r="C48">
        <v>20857</v>
      </c>
      <c r="D48" t="str">
        <f>VLOOKUP(C48,'Project Status'!C:H,6,FALSE)</f>
        <v>ONE MAGNOLIA CIRCLE</v>
      </c>
      <c r="E48" s="3" t="str">
        <f>VLOOKUP(C48,'Project Status'!C:I,7,FALSE)</f>
        <v>One Magnolia Circle - Elevator Modernization</v>
      </c>
      <c r="F48" s="3" t="str">
        <f>VLOOKUP(C48,'Project Status'!C:K,8,FALSE)</f>
        <v>Active</v>
      </c>
      <c r="G48" s="3" t="str">
        <f>VLOOKUP(C48,'Project Status'!C:L,9,FALSE)</f>
        <v>Construction</v>
      </c>
      <c r="H48" s="283"/>
      <c r="I48" s="206">
        <f>VLOOKUP(C48,'Project Status'!C:T,18,FALSE)</f>
        <v>499184</v>
      </c>
      <c r="J48" s="186"/>
      <c r="K48" s="155">
        <f t="shared" ref="K48" si="4">IF(J48="TBD",J48,SUM(I48:J48))</f>
        <v>499184</v>
      </c>
      <c r="L48" s="169"/>
    </row>
    <row r="49" spans="1:14" x14ac:dyDescent="0.4">
      <c r="A49" s="281"/>
      <c r="B49" s="96">
        <v>15</v>
      </c>
      <c r="C49" s="207">
        <v>20884</v>
      </c>
      <c r="D49" t="str">
        <f>VLOOKUP(C49,'Project Status'!C:H,6,FALSE)</f>
        <v>LAW SCHOOL</v>
      </c>
      <c r="E49" s="3" t="str">
        <f>VLOOKUP(C49,'Project Status'!C:I,7,FALSE)</f>
        <v>Law School - Exterior Window Painting</v>
      </c>
      <c r="F49" s="3" t="str">
        <f>VLOOKUP(C49,'Project Status'!C:K,8,FALSE)</f>
        <v>Active</v>
      </c>
      <c r="G49" s="3" t="str">
        <f>VLOOKUP(C49,'Project Status'!C:L,9,FALSE)</f>
        <v>Financial Closeout</v>
      </c>
      <c r="H49" s="283"/>
      <c r="I49" s="206">
        <f>VLOOKUP(C49,'Project Status'!C:T,18,FALSE)</f>
        <v>675650</v>
      </c>
      <c r="J49" s="186"/>
      <c r="K49" s="155">
        <f t="shared" si="2"/>
        <v>675650</v>
      </c>
      <c r="L49" s="169"/>
    </row>
    <row r="50" spans="1:14" x14ac:dyDescent="0.4">
      <c r="A50" s="281"/>
      <c r="B50" s="96">
        <v>16</v>
      </c>
      <c r="C50">
        <v>20885</v>
      </c>
      <c r="D50" t="str">
        <f>VLOOKUP(C50,'Project Status'!C:H,6,FALSE)</f>
        <v>BIOMOLECULAR NMR</v>
      </c>
      <c r="E50" s="3" t="str">
        <f>VLOOKUP(C50,'Project Status'!C:I,7,FALSE)</f>
        <v>NMR - Replace Air Compressors</v>
      </c>
      <c r="F50" s="3" t="str">
        <f>VLOOKUP(C50,'Project Status'!C:K,8,FALSE)</f>
        <v>Active</v>
      </c>
      <c r="G50" s="3" t="str">
        <f>VLOOKUP(C50,'Project Status'!C:L,9,FALSE)</f>
        <v>Construction</v>
      </c>
      <c r="H50" s="283"/>
      <c r="I50" s="206">
        <f>VLOOKUP(C50,'Project Status'!C:T,18,FALSE)</f>
        <v>113053.4</v>
      </c>
      <c r="J50" s="186"/>
      <c r="K50" s="155">
        <f t="shared" si="2"/>
        <v>113053.4</v>
      </c>
      <c r="L50" s="169"/>
    </row>
    <row r="51" spans="1:14" x14ac:dyDescent="0.4">
      <c r="A51" s="281"/>
      <c r="B51" s="96">
        <v>17</v>
      </c>
      <c r="C51">
        <v>20911</v>
      </c>
      <c r="D51" t="str">
        <f>VLOOKUP(C51,'Project Status'!C:H,6,FALSE)</f>
        <v>BUTTRICK HALL</v>
      </c>
      <c r="E51" s="3" t="str">
        <f>VLOOKUP(C51,'Project Status'!C:I,7,FALSE)</f>
        <v>Buttrick Hall - Elevator Upgrades</v>
      </c>
      <c r="F51" s="3" t="str">
        <f>VLOOKUP(C51,'Project Status'!C:K,8,FALSE)</f>
        <v>Active</v>
      </c>
      <c r="G51" s="3" t="str">
        <f>VLOOKUP(C51,'Project Status'!C:L,9,FALSE)</f>
        <v>Warranty or Construction Closeout</v>
      </c>
      <c r="H51" s="283"/>
      <c r="I51" s="206">
        <f>VLOOKUP(C51,'Project Status'!C:T,18,FALSE)</f>
        <v>61045</v>
      </c>
      <c r="J51" s="186"/>
      <c r="K51" s="155">
        <f t="shared" si="2"/>
        <v>61045</v>
      </c>
      <c r="L51" s="169"/>
    </row>
    <row r="52" spans="1:14" ht="15" customHeight="1" x14ac:dyDescent="0.4">
      <c r="A52" s="281"/>
      <c r="B52" s="96">
        <v>18</v>
      </c>
      <c r="C52">
        <v>20912</v>
      </c>
      <c r="D52" t="str">
        <f>VLOOKUP(C52,'Project Status'!C:H,6,FALSE)</f>
        <v>BENSON OLD CENTRAL</v>
      </c>
      <c r="E52" s="3" t="str">
        <f>VLOOKUP(C52,'Project Status'!C:I,7,FALSE)</f>
        <v>Benson Hall - Elevator Upgrades</v>
      </c>
      <c r="F52" s="3" t="str">
        <f>VLOOKUP(C52,'Project Status'!C:K,8,FALSE)</f>
        <v>Active</v>
      </c>
      <c r="G52" s="3" t="str">
        <f>VLOOKUP(C52,'Project Status'!C:L,9,FALSE)</f>
        <v>Warranty or Construction Closeout</v>
      </c>
      <c r="H52" s="283"/>
      <c r="I52" s="206">
        <f>VLOOKUP(C52,'Project Status'!C:T,18,FALSE)</f>
        <v>59798</v>
      </c>
      <c r="J52" s="186"/>
      <c r="K52" s="155">
        <f t="shared" si="2"/>
        <v>59798</v>
      </c>
      <c r="L52" s="169"/>
    </row>
    <row r="53" spans="1:14" x14ac:dyDescent="0.4">
      <c r="A53" s="281"/>
      <c r="B53" s="96">
        <v>19</v>
      </c>
      <c r="C53">
        <v>20913</v>
      </c>
      <c r="D53" t="str">
        <f>VLOOKUP(C53,'Project Status'!C:H,6,FALSE)</f>
        <v>WILSON HALL</v>
      </c>
      <c r="E53" s="3" t="str">
        <f>VLOOKUP(C53,'Project Status'!C:I,7,FALSE)</f>
        <v>Wilson Hall - Elevator Upgrades</v>
      </c>
      <c r="F53" s="3" t="str">
        <f>VLOOKUP(C53,'Project Status'!C:K,8,FALSE)</f>
        <v>Active</v>
      </c>
      <c r="G53" s="3" t="str">
        <f>VLOOKUP(C53,'Project Status'!C:L,9,FALSE)</f>
        <v>Warranty or Construction Closeout</v>
      </c>
      <c r="H53" s="283"/>
      <c r="I53" s="206">
        <f>VLOOKUP(C53,'Project Status'!C:T,18,FALSE)</f>
        <v>96612</v>
      </c>
      <c r="J53" s="186"/>
      <c r="K53" s="155">
        <f t="shared" si="2"/>
        <v>96612</v>
      </c>
      <c r="L53" s="169"/>
    </row>
    <row r="54" spans="1:14" x14ac:dyDescent="0.4">
      <c r="A54" s="281"/>
      <c r="B54" s="96">
        <v>20</v>
      </c>
      <c r="C54">
        <v>20922</v>
      </c>
      <c r="D54" t="str">
        <f>VLOOKUP(C54,'Project Status'!C:H,6,FALSE)</f>
        <v>VAUGHN HOME</v>
      </c>
      <c r="E54" s="3" t="str">
        <f>VLOOKUP(C54,'Project Status'!C:I,7,FALSE)</f>
        <v>Vaughn Home - Exterior Improvements</v>
      </c>
      <c r="F54" s="3" t="str">
        <f>VLOOKUP(C54,'Project Status'!C:K,8,FALSE)</f>
        <v>Active</v>
      </c>
      <c r="G54" s="3" t="str">
        <f>VLOOKUP(C54,'Project Status'!C:L,9,FALSE)</f>
        <v>Warranty or Construction Closeout</v>
      </c>
      <c r="H54" s="283"/>
      <c r="I54" s="206">
        <f>VLOOKUP(C54,'Project Status'!C:T,18,FALSE)</f>
        <v>197150</v>
      </c>
      <c r="J54" s="186"/>
      <c r="K54" s="155">
        <f t="shared" ref="K54" si="5">IF(J54="TBD",J54,SUM(I54:J54))</f>
        <v>197150</v>
      </c>
      <c r="L54" s="169"/>
    </row>
    <row r="55" spans="1:14" x14ac:dyDescent="0.4">
      <c r="A55" s="281"/>
      <c r="B55" s="96">
        <v>21</v>
      </c>
      <c r="C55">
        <v>20924</v>
      </c>
      <c r="D55" t="str">
        <f>VLOOKUP(C55,'Project Status'!C:H,6,FALSE)</f>
        <v>FRIST HALL</v>
      </c>
      <c r="E55" s="3" t="str">
        <f>VLOOKUP(C55,'Project Status'!C:I,7,FALSE)</f>
        <v>Frist Hall - Stairwell Roof Replacement</v>
      </c>
      <c r="F55" s="3" t="str">
        <f>VLOOKUP(C55,'Project Status'!C:K,8,FALSE)</f>
        <v>Active</v>
      </c>
      <c r="G55" s="3" t="str">
        <f>VLOOKUP(C55,'Project Status'!C:L,9,FALSE)</f>
        <v>Financial Closeout</v>
      </c>
      <c r="H55" s="283"/>
      <c r="I55" s="206">
        <f>VLOOKUP(C55,'Project Status'!C:T,18,FALSE)</f>
        <v>30570</v>
      </c>
      <c r="J55" s="186"/>
      <c r="K55" s="155">
        <f t="shared" ref="K55" si="6">IF(J55="TBD",J55,SUM(I55:J55))</f>
        <v>30570</v>
      </c>
      <c r="L55" s="169"/>
    </row>
    <row r="56" spans="1:14" x14ac:dyDescent="0.4">
      <c r="A56" s="281"/>
      <c r="B56" s="96">
        <v>22</v>
      </c>
      <c r="C56">
        <v>20936</v>
      </c>
      <c r="D56" t="str">
        <f>VLOOKUP(C56,'Project Status'!C:H,6,FALSE)</f>
        <v>WILSON HALL</v>
      </c>
      <c r="E56" s="3" t="str">
        <f>VLOOKUP(C56,'Project Status'!C:I,7,FALSE)</f>
        <v>Wilson Hall - Lighting Retrofit for 103 and 126</v>
      </c>
      <c r="F56" s="3" t="str">
        <f>VLOOKUP(C56,'Project Status'!C:K,8,FALSE)</f>
        <v>Active</v>
      </c>
      <c r="G56" s="3" t="str">
        <f>VLOOKUP(C56,'Project Status'!C:L,9,FALSE)</f>
        <v>Warranty or Construction Closeout</v>
      </c>
      <c r="H56" s="283"/>
      <c r="I56" s="206">
        <f>VLOOKUP(C56,'Project Status'!C:T,18,FALSE)</f>
        <v>404655.91</v>
      </c>
      <c r="J56" s="186"/>
      <c r="K56" s="155">
        <f t="shared" si="2"/>
        <v>404655.91</v>
      </c>
      <c r="L56" s="169"/>
    </row>
    <row r="57" spans="1:14" x14ac:dyDescent="0.4">
      <c r="A57" s="281"/>
      <c r="B57" s="96">
        <v>23</v>
      </c>
      <c r="C57">
        <v>20945</v>
      </c>
      <c r="D57" t="str">
        <f>VLOOKUP(C57,'Project Status'!C:H,6,FALSE)</f>
        <v>SEIGENTHALER CENTER</v>
      </c>
      <c r="E57" s="3" t="str">
        <f>VLOOKUP(C57,'Project Status'!C:I,7,FALSE)</f>
        <v>Seigenthaler Building - HVAC Improvements</v>
      </c>
      <c r="F57" s="3" t="str">
        <f>VLOOKUP(C57,'Project Status'!C:K,8,FALSE)</f>
        <v>Active</v>
      </c>
      <c r="G57" s="3" t="str">
        <f>VLOOKUP(C57,'Project Status'!C:L,9,FALSE)</f>
        <v>Financial Closeout</v>
      </c>
      <c r="H57" s="283"/>
      <c r="I57" s="206">
        <f>VLOOKUP(C57,'Project Status'!C:T,18,FALSE)</f>
        <v>99000</v>
      </c>
      <c r="J57" s="186"/>
      <c r="K57" s="155">
        <f t="shared" ref="K57" si="7">IF(J57="TBD",J57,SUM(I57:J57))</f>
        <v>99000</v>
      </c>
      <c r="L57" s="169"/>
    </row>
    <row r="58" spans="1:14" x14ac:dyDescent="0.4">
      <c r="A58" s="281"/>
      <c r="B58" s="96">
        <v>24</v>
      </c>
      <c r="C58">
        <v>20958</v>
      </c>
      <c r="D58" t="str">
        <f>VLOOKUP(C58,'Project Status'!C:H,6,FALSE)</f>
        <v>FURMAN HALL</v>
      </c>
      <c r="E58" s="3" t="str">
        <f>VLOOKUP(C58,'Project Status'!C:I,7,FALSE)</f>
        <v>Furman Hall - Elevator Modernization</v>
      </c>
      <c r="F58" s="3" t="str">
        <f>VLOOKUP(C58,'Project Status'!C:K,8,FALSE)</f>
        <v>Active</v>
      </c>
      <c r="G58" s="3" t="str">
        <f>VLOOKUP(C58,'Project Status'!C:L,9,FALSE)</f>
        <v>Construction</v>
      </c>
      <c r="H58" s="283"/>
      <c r="I58" s="206">
        <f>VLOOKUP(C58,'Project Status'!C:T,18,FALSE)</f>
        <v>18175</v>
      </c>
      <c r="J58" s="186"/>
      <c r="K58" s="155">
        <f t="shared" ref="K58" si="8">IF(J58="TBD",J58,SUM(I58:J58))</f>
        <v>18175</v>
      </c>
      <c r="L58" s="169"/>
    </row>
    <row r="59" spans="1:14" x14ac:dyDescent="0.4">
      <c r="A59" s="281"/>
      <c r="B59" s="96">
        <v>25</v>
      </c>
      <c r="C59">
        <v>20982</v>
      </c>
      <c r="D59" t="str">
        <f>VLOOKUP(C59,'Project Status'!C:H,6,FALSE)</f>
        <v>LAW SCHOOL</v>
      </c>
      <c r="E59" s="3" t="str">
        <f>VLOOKUP(C59,'Project Status'!C:I,7,FALSE)</f>
        <v>Law School - Elevator 1 Modernization</v>
      </c>
      <c r="F59" s="3" t="str">
        <f>VLOOKUP(C59,'Project Status'!C:K,8,FALSE)</f>
        <v>Active</v>
      </c>
      <c r="G59" s="3" t="str">
        <f>VLOOKUP(C59,'Project Status'!C:L,9,FALSE)</f>
        <v>Construction</v>
      </c>
      <c r="H59" s="283"/>
      <c r="I59" s="206">
        <f>VLOOKUP(C59,'Project Status'!C:T,18,FALSE)</f>
        <v>18175</v>
      </c>
      <c r="J59" s="186"/>
      <c r="K59" s="155">
        <f t="shared" ref="K59" si="9">IF(J59="TBD",J59,SUM(I59:J59))</f>
        <v>18175</v>
      </c>
      <c r="L59" s="169"/>
      <c r="N59" s="147"/>
    </row>
    <row r="60" spans="1:14" x14ac:dyDescent="0.4">
      <c r="A60" s="281"/>
      <c r="H60" s="283"/>
      <c r="I60" s="206"/>
      <c r="K60" s="147"/>
      <c r="L60" s="169"/>
      <c r="N60" s="147"/>
    </row>
    <row r="61" spans="1:14" s="20" customFormat="1" x14ac:dyDescent="0.4">
      <c r="A61" s="281"/>
      <c r="C61" s="20">
        <v>10098</v>
      </c>
      <c r="D61" s="20" t="str">
        <f>VLOOKUP(C61,'Project Status'!C:H,6,FALSE)</f>
        <v>MRB III BIO/SCI</v>
      </c>
      <c r="E61" s="216" t="str">
        <f>VLOOKUP(C61,'Project Status'!C:I,7,FALSE)</f>
        <v>MRB III - 4th Floor - Replace Controls (Phase 2)</v>
      </c>
      <c r="F61" s="216" t="str">
        <f>VLOOKUP(C61,'Project Status'!C:K,8,FALSE)</f>
        <v>Complete</v>
      </c>
      <c r="G61" s="216" t="str">
        <f>VLOOKUP(C61,'Project Status'!C:L,9,FALSE)</f>
        <v>Finalized</v>
      </c>
      <c r="H61" s="283"/>
      <c r="I61" s="206">
        <f>VLOOKUP(C61,'Project Status'!C:T,18,FALSE)</f>
        <v>-4400.96</v>
      </c>
      <c r="J61" s="217"/>
      <c r="K61" s="218">
        <f t="shared" ref="K61:K73" si="10">IF(J61="TBD",J61,SUM(I61:J61))</f>
        <v>-4400.96</v>
      </c>
      <c r="L61" s="214"/>
      <c r="N61" s="225"/>
    </row>
    <row r="62" spans="1:14" s="20" customFormat="1" x14ac:dyDescent="0.4">
      <c r="A62" s="281"/>
      <c r="C62" s="20">
        <v>20336</v>
      </c>
      <c r="D62" s="20" t="str">
        <f>VLOOKUP(C62,'Project Status'!C:H,6,FALSE)</f>
        <v>BLAIR SCHOOL OF MUSIC</v>
      </c>
      <c r="E62" s="216" t="str">
        <f>VLOOKUP(C62,'Project Status'!C:I,7,FALSE)</f>
        <v>Blair School of Music - Elevator #3 Modernization</v>
      </c>
      <c r="F62" s="216" t="str">
        <f>VLOOKUP(C62,'Project Status'!C:K,8,FALSE)</f>
        <v>Complete</v>
      </c>
      <c r="G62" s="216" t="str">
        <f>VLOOKUP(C62,'Project Status'!C:L,9,FALSE)</f>
        <v>Finalized</v>
      </c>
      <c r="H62" s="283"/>
      <c r="I62" s="206">
        <f>VLOOKUP(C62,'Project Status'!C:T,18,FALSE)</f>
        <v>-47290</v>
      </c>
      <c r="J62" s="217"/>
      <c r="K62" s="218">
        <f t="shared" si="10"/>
        <v>-47290</v>
      </c>
      <c r="L62" s="214"/>
    </row>
    <row r="63" spans="1:14" s="20" customFormat="1" x14ac:dyDescent="0.4">
      <c r="A63" s="281"/>
      <c r="C63" s="20">
        <v>20497</v>
      </c>
      <c r="D63" s="20" t="str">
        <f>VLOOKUP(C63,'Project Status'!C:H,6,FALSE)</f>
        <v>JESUP PSYCHOLOGY</v>
      </c>
      <c r="E63" s="216" t="str">
        <f>VLOOKUP(C63,'Project Status'!C:I,7,FALSE)</f>
        <v>Jesup - Roof Replacement</v>
      </c>
      <c r="F63" s="216" t="str">
        <f>VLOOKUP(C63,'Project Status'!C:K,8,FALSE)</f>
        <v>Complete</v>
      </c>
      <c r="G63" s="216" t="str">
        <f>VLOOKUP(C63,'Project Status'!C:L,9,FALSE)</f>
        <v>Finalized</v>
      </c>
      <c r="H63" s="283"/>
      <c r="I63" s="206">
        <f>VLOOKUP(C63,'Project Status'!C:T,18,FALSE)</f>
        <v>-44850</v>
      </c>
      <c r="J63" s="217"/>
      <c r="K63" s="218">
        <f t="shared" si="10"/>
        <v>-44850</v>
      </c>
      <c r="L63" s="214"/>
    </row>
    <row r="64" spans="1:14" s="20" customFormat="1" x14ac:dyDescent="0.4">
      <c r="A64" s="281"/>
      <c r="C64" s="20">
        <v>20506</v>
      </c>
      <c r="D64" s="20" t="str">
        <f>VLOOKUP(C64,'Project Status'!C:H,6,FALSE)</f>
        <v>WYATT CENTER</v>
      </c>
      <c r="E64" s="216" t="str">
        <f>VLOOKUP(C64,'Project Status'!C:I,7,FALSE)</f>
        <v>Wyatt Center - Window Replacement</v>
      </c>
      <c r="F64" s="216" t="str">
        <f>VLOOKUP(C64,'Project Status'!C:K,8,FALSE)</f>
        <v>Complete</v>
      </c>
      <c r="G64" s="216" t="str">
        <f>VLOOKUP(C64,'Project Status'!C:L,9,FALSE)</f>
        <v>Finalized</v>
      </c>
      <c r="H64" s="283"/>
      <c r="I64" s="206">
        <f>VLOOKUP(C64,'Project Status'!C:T,18,FALSE)</f>
        <v>-36379</v>
      </c>
      <c r="J64" s="217"/>
      <c r="K64" s="218">
        <f t="shared" si="10"/>
        <v>-36379</v>
      </c>
      <c r="L64" s="214"/>
    </row>
    <row r="65" spans="1:15" s="20" customFormat="1" x14ac:dyDescent="0.4">
      <c r="A65" s="281"/>
      <c r="C65" s="20">
        <v>20562</v>
      </c>
      <c r="D65" s="20" t="str">
        <f>VLOOKUP(C65,'Project Status'!C:H,6,FALSE)</f>
        <v>WYATT CENTER</v>
      </c>
      <c r="E65" s="216" t="str">
        <f>VLOOKUP(C65,'Project Status'!C:I,7,FALSE)</f>
        <v>Wyatt Center - VAV Replacement</v>
      </c>
      <c r="F65" s="216" t="str">
        <f>VLOOKUP(C65,'Project Status'!C:K,8,FALSE)</f>
        <v>Complete</v>
      </c>
      <c r="G65" s="216" t="str">
        <f>VLOOKUP(C65,'Project Status'!C:L,9,FALSE)</f>
        <v>Finalized</v>
      </c>
      <c r="H65" s="283"/>
      <c r="I65" s="206">
        <f>VLOOKUP(C65,'Project Status'!C:T,18,FALSE)</f>
        <v>-43231.360000000001</v>
      </c>
      <c r="J65" s="217"/>
      <c r="K65" s="218">
        <f t="shared" si="10"/>
        <v>-43231.360000000001</v>
      </c>
      <c r="L65" s="214"/>
    </row>
    <row r="66" spans="1:15" s="20" customFormat="1" x14ac:dyDescent="0.4">
      <c r="A66" s="281"/>
      <c r="C66" s="20">
        <v>20566</v>
      </c>
      <c r="D66" s="20" t="str">
        <f>VLOOKUP(C66,'Project Status'!C:H,6,FALSE)</f>
        <v>SC CHEMISTRY</v>
      </c>
      <c r="E66" s="216" t="str">
        <f>VLOOKUP(C66,'Project Status'!C:I,7,FALSE)</f>
        <v>SC Chemistry (SC7) - Elevator 1 &amp; 2 Modernization</v>
      </c>
      <c r="F66" s="216" t="str">
        <f>VLOOKUP(C66,'Project Status'!C:K,8,FALSE)</f>
        <v>Complete</v>
      </c>
      <c r="G66" s="216" t="str">
        <f>VLOOKUP(C66,'Project Status'!C:L,9,FALSE)</f>
        <v>Finalized</v>
      </c>
      <c r="H66" s="283"/>
      <c r="I66" s="206">
        <f>VLOOKUP(C66,'Project Status'!C:T,18,FALSE)</f>
        <v>-59283.32</v>
      </c>
      <c r="J66" s="217"/>
      <c r="K66" s="218">
        <f t="shared" si="10"/>
        <v>-59283.32</v>
      </c>
      <c r="L66" s="214"/>
    </row>
    <row r="67" spans="1:15" s="20" customFormat="1" x14ac:dyDescent="0.4">
      <c r="A67" s="281"/>
      <c r="C67" s="20">
        <v>20573</v>
      </c>
      <c r="D67" s="20" t="str">
        <f>VLOOKUP(C67,'Project Status'!C:H,6,FALSE)</f>
        <v>WYATT CENTER</v>
      </c>
      <c r="E67" s="216" t="str">
        <f>VLOOKUP(C67,'Project Status'!C:I,7,FALSE)</f>
        <v>Wyatt Center - Roof Replacement</v>
      </c>
      <c r="F67" s="216" t="str">
        <f>VLOOKUP(C67,'Project Status'!C:K,8,FALSE)</f>
        <v>Complete</v>
      </c>
      <c r="G67" s="216" t="str">
        <f>VLOOKUP(C67,'Project Status'!C:L,9,FALSE)</f>
        <v>Finalized</v>
      </c>
      <c r="H67" s="283"/>
      <c r="I67" s="206">
        <f>VLOOKUP(C67,'Project Status'!C:T,18,FALSE)</f>
        <v>-119221</v>
      </c>
      <c r="J67" s="217"/>
      <c r="K67" s="218">
        <f t="shared" si="10"/>
        <v>-119221</v>
      </c>
      <c r="L67" s="214"/>
    </row>
    <row r="68" spans="1:15" s="20" customFormat="1" x14ac:dyDescent="0.4">
      <c r="A68" s="281"/>
      <c r="C68" s="20">
        <v>20574</v>
      </c>
      <c r="D68" s="20" t="str">
        <f>VLOOKUP(C68,'Project Status'!C:H,6,FALSE)</f>
        <v>MRB III BIO/SCI</v>
      </c>
      <c r="E68" s="216" t="str">
        <f>VLOOKUP(C68,'Project Status'!C:I,7,FALSE)</f>
        <v>MRB III - Steam Coil Replacement</v>
      </c>
      <c r="F68" s="216" t="str">
        <f>VLOOKUP(C68,'Project Status'!C:K,8,FALSE)</f>
        <v>Complete</v>
      </c>
      <c r="G68" s="216" t="str">
        <f>VLOOKUP(C68,'Project Status'!C:L,9,FALSE)</f>
        <v>Finalized</v>
      </c>
      <c r="H68" s="283"/>
      <c r="I68" s="206">
        <f>VLOOKUP(C68,'Project Status'!C:T,18,FALSE)</f>
        <v>-22537</v>
      </c>
      <c r="J68" s="217"/>
      <c r="K68" s="218">
        <f t="shared" si="10"/>
        <v>-22537</v>
      </c>
      <c r="L68" s="219"/>
    </row>
    <row r="69" spans="1:15" s="20" customFormat="1" x14ac:dyDescent="0.4">
      <c r="A69" s="281"/>
      <c r="C69" s="20">
        <v>20644</v>
      </c>
      <c r="D69" s="20" t="str">
        <f>VLOOKUP(C69,'Project Status'!C:H,6,FALSE)</f>
        <v>PEABODY ADMINISTRATION</v>
      </c>
      <c r="E69" s="216" t="str">
        <f>VLOOKUP(C69,'Project Status'!C:I,7,FALSE)</f>
        <v>Peabody Administration - Envelope Repairs</v>
      </c>
      <c r="F69" s="216" t="str">
        <f>VLOOKUP(C69,'Project Status'!C:K,8,FALSE)</f>
        <v>Complete</v>
      </c>
      <c r="G69" s="216" t="str">
        <f>VLOOKUP(C69,'Project Status'!C:L,9,FALSE)</f>
        <v>Finalized</v>
      </c>
      <c r="H69" s="283"/>
      <c r="I69" s="206">
        <f>VLOOKUP(C69,'Project Status'!C:T,18,FALSE)</f>
        <v>-58765</v>
      </c>
      <c r="J69" s="217"/>
      <c r="K69" s="218">
        <f t="shared" si="10"/>
        <v>-58765</v>
      </c>
      <c r="L69" s="219"/>
    </row>
    <row r="70" spans="1:15" s="20" customFormat="1" x14ac:dyDescent="0.4">
      <c r="A70" s="281"/>
      <c r="C70" s="20">
        <v>20645</v>
      </c>
      <c r="D70" s="20" t="str">
        <f>VLOOKUP(C70,'Project Status'!C:H,6,FALSE)</f>
        <v>BENSON OLD CENTRAL</v>
      </c>
      <c r="E70" s="216" t="str">
        <f>VLOOKUP(C70,'Project Status'!C:I,7,FALSE)</f>
        <v>Benson Old Central - Replace Soffit and Doors</v>
      </c>
      <c r="F70" s="216" t="str">
        <f>VLOOKUP(C70,'Project Status'!C:K,8,FALSE)</f>
        <v>Complete</v>
      </c>
      <c r="G70" s="216" t="str">
        <f>VLOOKUP(C70,'Project Status'!C:L,9,FALSE)</f>
        <v>Finalized</v>
      </c>
      <c r="H70" s="283"/>
      <c r="I70" s="206">
        <f>VLOOKUP(C70,'Project Status'!C:T,18,FALSE)</f>
        <v>-11525</v>
      </c>
      <c r="J70" s="217"/>
      <c r="K70" s="218">
        <f t="shared" si="10"/>
        <v>-11525</v>
      </c>
      <c r="L70" s="215" t="s">
        <v>380</v>
      </c>
    </row>
    <row r="71" spans="1:15" s="20" customFormat="1" x14ac:dyDescent="0.4">
      <c r="A71" s="281"/>
      <c r="C71" s="20">
        <v>20702</v>
      </c>
      <c r="D71" s="20" t="str">
        <f>VLOOKUP(C71,'Project Status'!C:H,6,FALSE)</f>
        <v>WYATT CENTER</v>
      </c>
      <c r="E71" s="216" t="str">
        <f>VLOOKUP(C71,'Project Status'!C:I,7,FALSE)</f>
        <v>Wyatt Center - Elevator #2 Modernization</v>
      </c>
      <c r="F71" s="216" t="str">
        <f>VLOOKUP(C71,'Project Status'!C:K,8,FALSE)</f>
        <v>Complete</v>
      </c>
      <c r="G71" s="216" t="str">
        <f>VLOOKUP(C71,'Project Status'!C:L,9,FALSE)</f>
        <v>Finalized</v>
      </c>
      <c r="H71" s="283"/>
      <c r="I71" s="206">
        <f>VLOOKUP(C71,'Project Status'!C:T,18,FALSE)</f>
        <v>-29922</v>
      </c>
      <c r="J71" s="217"/>
      <c r="K71" s="218">
        <f t="shared" si="10"/>
        <v>-29922</v>
      </c>
      <c r="L71" s="215" t="s">
        <v>381</v>
      </c>
    </row>
    <row r="72" spans="1:15" s="20" customFormat="1" x14ac:dyDescent="0.4">
      <c r="A72" s="281"/>
      <c r="C72" s="20">
        <v>20771</v>
      </c>
      <c r="D72" s="20" t="str">
        <f>VLOOKUP(C72,'Project Status'!C:H,6,FALSE)</f>
        <v>SC CHEMISTRY</v>
      </c>
      <c r="E72" s="216" t="str">
        <f>VLOOKUP(C72,'Project Status'!C:I,7,FALSE)</f>
        <v>SC4 - Interstitial Space HVAC Modifications</v>
      </c>
      <c r="F72" s="216" t="str">
        <f>VLOOKUP(C72,'Project Status'!C:K,8,FALSE)</f>
        <v>Complete</v>
      </c>
      <c r="G72" s="216" t="str">
        <f>VLOOKUP(C72,'Project Status'!C:L,9,FALSE)</f>
        <v>Finalized</v>
      </c>
      <c r="H72" s="283"/>
      <c r="I72" s="206">
        <f>VLOOKUP(C72,'Project Status'!C:T,18,FALSE)</f>
        <v>-7025</v>
      </c>
      <c r="J72" s="217"/>
      <c r="K72" s="218">
        <f t="shared" ref="K72" si="11">IF(J72="TBD",J72,SUM(I72:J72))</f>
        <v>-7025</v>
      </c>
      <c r="L72" s="215"/>
    </row>
    <row r="73" spans="1:15" s="20" customFormat="1" x14ac:dyDescent="0.4">
      <c r="A73" s="281"/>
      <c r="C73" s="20">
        <v>20792</v>
      </c>
      <c r="D73" s="20" t="str">
        <f>VLOOKUP(C73,'Project Status'!C:H,6,FALSE)</f>
        <v>LAW SCHOOL</v>
      </c>
      <c r="E73" s="216" t="str">
        <f>VLOOKUP(C73,'Project Status'!C:I,7,FALSE)</f>
        <v>Law School - Sections 1, 2, &amp; 3  Roof Replacement</v>
      </c>
      <c r="F73" s="216" t="str">
        <f>VLOOKUP(C73,'Project Status'!C:K,8,FALSE)</f>
        <v>Complete</v>
      </c>
      <c r="G73" s="216" t="str">
        <f>VLOOKUP(C73,'Project Status'!C:L,9,FALSE)</f>
        <v>Finalized</v>
      </c>
      <c r="H73" s="283"/>
      <c r="I73" s="206">
        <f>VLOOKUP(C73,'Project Status'!C:T,18,FALSE)</f>
        <v>-32665</v>
      </c>
      <c r="J73" s="217"/>
      <c r="K73" s="218">
        <f t="shared" si="10"/>
        <v>-32665</v>
      </c>
      <c r="L73" s="219">
        <f>L32</f>
        <v>567212.74000000022</v>
      </c>
    </row>
    <row r="74" spans="1:15" x14ac:dyDescent="0.4">
      <c r="A74" s="281"/>
      <c r="C74" s="20">
        <v>20735</v>
      </c>
      <c r="D74" s="20" t="str">
        <f>VLOOKUP(C74,'Project Status'!C:H,6,FALSE)</f>
        <v>OWEN GRAD MGMT</v>
      </c>
      <c r="E74" s="216" t="str">
        <f>VLOOKUP(C74,'Project Status'!C:I,7,FALSE)</f>
        <v>Owen - Roof Replacement (Third Level)</v>
      </c>
      <c r="F74" s="216" t="str">
        <f>VLOOKUP(C74,'Project Status'!C:K,8,FALSE)</f>
        <v>Complete</v>
      </c>
      <c r="G74" s="216" t="str">
        <f>VLOOKUP(C74,'Project Status'!C:L,9,FALSE)</f>
        <v>Finalized</v>
      </c>
      <c r="H74" s="283"/>
      <c r="I74" s="206">
        <f>VLOOKUP(C74,'Project Status'!C:T,18,FALSE)</f>
        <v>-23500</v>
      </c>
      <c r="J74" s="217"/>
      <c r="K74" s="218">
        <f t="shared" ref="K74" si="12">IF(J74="TBD",J74,SUM(I74:J74))</f>
        <v>-23500</v>
      </c>
      <c r="L74" s="169"/>
    </row>
    <row r="75" spans="1:15" x14ac:dyDescent="0.4">
      <c r="H75" s="283"/>
      <c r="I75" s="153">
        <f>SUM(I35:I74)</f>
        <v>11427472.939999999</v>
      </c>
      <c r="J75" s="153">
        <f>SUM(J35:J74)</f>
        <v>0</v>
      </c>
      <c r="K75" s="153">
        <f>SUM(K35:K74)</f>
        <v>11427472.939999999</v>
      </c>
      <c r="L75" s="153">
        <f>H35-K75+L73</f>
        <v>169023.08999999985</v>
      </c>
      <c r="N75" s="147"/>
      <c r="O75" s="147"/>
    </row>
    <row r="76" spans="1:15" x14ac:dyDescent="0.4">
      <c r="I76" s="224"/>
      <c r="J76" s="224"/>
      <c r="L76" s="147"/>
      <c r="M76" s="147"/>
      <c r="N76" s="147"/>
      <c r="O76" s="147"/>
    </row>
    <row r="77" spans="1:15" x14ac:dyDescent="0.4">
      <c r="A77" s="282" t="s">
        <v>285</v>
      </c>
      <c r="B77" s="157"/>
      <c r="C77" s="157" t="s">
        <v>461</v>
      </c>
      <c r="D77" s="157" t="s">
        <v>114</v>
      </c>
      <c r="E77" s="157" t="s">
        <v>87</v>
      </c>
      <c r="F77" s="222" t="s">
        <v>128</v>
      </c>
      <c r="G77" s="222" t="s">
        <v>129</v>
      </c>
      <c r="H77" s="161" t="s">
        <v>284</v>
      </c>
      <c r="I77" s="158" t="s">
        <v>249</v>
      </c>
      <c r="J77" s="158" t="s">
        <v>282</v>
      </c>
      <c r="K77" s="167" t="s">
        <v>281</v>
      </c>
      <c r="L77" s="168" t="s">
        <v>250</v>
      </c>
      <c r="M77" s="267" t="s">
        <v>282</v>
      </c>
    </row>
    <row r="78" spans="1:15" s="3" customFormat="1" ht="14.7" customHeight="1" x14ac:dyDescent="0.4">
      <c r="A78" s="282"/>
      <c r="B78" s="228">
        <v>1</v>
      </c>
      <c r="C78" s="3">
        <v>20577</v>
      </c>
      <c r="D78" s="3" t="str">
        <f>VLOOKUP(C78,'Project Status'!C:H,6,FALSE)</f>
        <v>BLAIR SCHOOL OF MUSIC</v>
      </c>
      <c r="E78" s="3" t="str">
        <f>VLOOKUP(C78,'Project Status'!C:I,7,FALSE)</f>
        <v>Blair School of Music - AHU - 1 Replacement - Phase 1 - FY25</v>
      </c>
      <c r="F78" s="3" t="str">
        <f>VLOOKUP(C78,'Project Status'!C:K,8,FALSE)</f>
        <v>Active</v>
      </c>
      <c r="G78" s="3" t="str">
        <f>VLOOKUP(C78,'Project Status'!C:L,9,FALSE)</f>
        <v>Construction</v>
      </c>
      <c r="H78" s="284">
        <f>Contributions!K18</f>
        <v>12857284.462265246</v>
      </c>
      <c r="I78" s="206">
        <f>VLOOKUP(C78,'Project Status'!C:V,19,FALSE)</f>
        <v>1077000</v>
      </c>
      <c r="J78" s="229">
        <f>VLOOKUP(C78,'Project Status'!C:V,20,FALSE)</f>
        <v>0</v>
      </c>
      <c r="K78" s="155">
        <f>SUM(I78:J78)</f>
        <v>1077000</v>
      </c>
      <c r="L78" s="230"/>
      <c r="M78" s="265" t="str">
        <f>VLOOKUP(C78,'Project Status'!C:M,10,FALSE)</f>
        <v>Hans Mooy</v>
      </c>
    </row>
    <row r="79" spans="1:15" s="3" customFormat="1" ht="14.7" customHeight="1" x14ac:dyDescent="0.4">
      <c r="A79" s="282"/>
      <c r="B79" s="228">
        <v>2</v>
      </c>
      <c r="C79" s="3">
        <v>20667</v>
      </c>
      <c r="D79" s="3" t="str">
        <f>VLOOKUP(C79,'Project Status'!C:H,6,FALSE)</f>
        <v>1025 16TH AVE S</v>
      </c>
      <c r="E79" s="3" t="str">
        <f>VLOOKUP(C79,'Project Status'!C:I,7,FALSE)</f>
        <v>1025 16th Avenue - Mechanical and Electrical Upgrades</v>
      </c>
      <c r="F79" s="3" t="str">
        <f>VLOOKUP(C79,'Project Status'!C:K,8,FALSE)</f>
        <v>Active</v>
      </c>
      <c r="G79" s="3" t="str">
        <f>VLOOKUP(C79,'Project Status'!C:L,9,FALSE)</f>
        <v>Award</v>
      </c>
      <c r="H79" s="284"/>
      <c r="I79" s="206">
        <f>VLOOKUP(C79,'Project Status'!C:V,19,FALSE)</f>
        <v>1398860</v>
      </c>
      <c r="J79" s="229">
        <f>VLOOKUP(C79,'Project Status'!C:V,20,FALSE)</f>
        <v>0</v>
      </c>
      <c r="K79" s="155">
        <f t="shared" ref="K79:K90" si="13">SUM(I79:J79)</f>
        <v>1398860</v>
      </c>
      <c r="L79" s="230"/>
      <c r="M79" s="265" t="str">
        <f>VLOOKUP(C79,'Project Status'!C:M,10,FALSE)</f>
        <v>Sean Rewers</v>
      </c>
    </row>
    <row r="80" spans="1:15" s="3" customFormat="1" x14ac:dyDescent="0.4">
      <c r="A80" s="282"/>
      <c r="B80" s="228">
        <v>3</v>
      </c>
      <c r="C80" s="3">
        <v>20723</v>
      </c>
      <c r="D80" s="3" t="str">
        <f>VLOOKUP(C80,'Project Status'!C:H,6,FALSE)</f>
        <v>MRB III BIO/SCI</v>
      </c>
      <c r="E80" s="3" t="str">
        <f>VLOOKUP(C80,'Project Status'!C:I,7,FALSE)</f>
        <v>MRB III - 9th Floor (with 4 ,5 &amp; 8) - Replace Controls (Phase 3)</v>
      </c>
      <c r="F80" s="3" t="str">
        <f>VLOOKUP(C80,'Project Status'!C:K,8,FALSE)</f>
        <v>Active</v>
      </c>
      <c r="G80" s="3" t="str">
        <f>VLOOKUP(C80,'Project Status'!C:L,9,FALSE)</f>
        <v>Award</v>
      </c>
      <c r="H80" s="284"/>
      <c r="I80" s="206">
        <f>VLOOKUP(C80,'Project Status'!C:V,19,FALSE)</f>
        <v>1539500</v>
      </c>
      <c r="J80" s="229">
        <f>VLOOKUP(C80,'Project Status'!C:V,20,FALSE)</f>
        <v>0</v>
      </c>
      <c r="K80" s="155">
        <f t="shared" si="13"/>
        <v>1539500</v>
      </c>
      <c r="L80" s="230"/>
      <c r="M80" s="265" t="str">
        <f>VLOOKUP(C80,'Project Status'!C:M,10,FALSE)</f>
        <v>Jay Surprenant</v>
      </c>
    </row>
    <row r="81" spans="1:13" s="3" customFormat="1" x14ac:dyDescent="0.4">
      <c r="A81" s="282"/>
      <c r="B81" s="228">
        <v>4</v>
      </c>
      <c r="C81" s="3">
        <v>20772</v>
      </c>
      <c r="D81" s="3" t="str">
        <f>VLOOKUP(C81,'Project Status'!C:H,6,FALSE)</f>
        <v>OWEN GRAD MGMT</v>
      </c>
      <c r="E81" s="3" t="str">
        <f>VLOOKUP(C81,'Project Status'!C:I,7,FALSE)</f>
        <v>OGSM Old Mechanical- Slate Roof &amp; Window Replacement</v>
      </c>
      <c r="F81" s="3" t="str">
        <f>VLOOKUP(C81,'Project Status'!C:K,8,FALSE)</f>
        <v>Active</v>
      </c>
      <c r="G81" s="3" t="str">
        <f>VLOOKUP(C81,'Project Status'!C:L,9,FALSE)</f>
        <v>Construction</v>
      </c>
      <c r="H81" s="284"/>
      <c r="I81" s="206">
        <f>VLOOKUP(C81,'Project Status'!C:V,19,FALSE)</f>
        <v>1600000</v>
      </c>
      <c r="J81" s="229">
        <f>VLOOKUP(C81,'Project Status'!C:V,20,FALSE)</f>
        <v>0</v>
      </c>
      <c r="K81" s="155">
        <f t="shared" si="13"/>
        <v>1600000</v>
      </c>
      <c r="L81" s="230"/>
      <c r="M81" s="265" t="str">
        <f>VLOOKUP(C81,'Project Status'!C:M,10,FALSE)</f>
        <v>Ben Bedock</v>
      </c>
    </row>
    <row r="82" spans="1:13" s="3" customFormat="1" x14ac:dyDescent="0.4">
      <c r="A82" s="282"/>
      <c r="B82" s="228">
        <v>5</v>
      </c>
      <c r="C82" s="3">
        <v>20812</v>
      </c>
      <c r="D82" s="3" t="str">
        <f>VLOOKUP(C82,'Project Status'!C:H,6,FALSE)</f>
        <v>1025 16TH AVE GARAGE</v>
      </c>
      <c r="E82" s="3" t="str">
        <f>VLOOKUP(C82,'Project Status'!C:I,7,FALSE)</f>
        <v>1025 16th Avenue - Patio Repairs</v>
      </c>
      <c r="F82" s="3" t="str">
        <f>VLOOKUP(C82,'Project Status'!C:K,8,FALSE)</f>
        <v>Active</v>
      </c>
      <c r="G82" s="3" t="str">
        <f>VLOOKUP(C82,'Project Status'!C:L,9,FALSE)</f>
        <v>Design</v>
      </c>
      <c r="H82" s="284"/>
      <c r="I82" s="206">
        <f>VLOOKUP(C82,'Project Status'!C:V,19,FALSE)</f>
        <v>38500</v>
      </c>
      <c r="J82" s="229">
        <f>VLOOKUP(C82,'Project Status'!C:V,20,FALSE)</f>
        <v>561500</v>
      </c>
      <c r="K82" s="155">
        <f t="shared" si="13"/>
        <v>600000</v>
      </c>
      <c r="L82" s="230"/>
      <c r="M82" s="265" t="str">
        <f>VLOOKUP(C82,'Project Status'!C:M,10,FALSE)</f>
        <v>Sean Rewers</v>
      </c>
    </row>
    <row r="83" spans="1:13" s="3" customFormat="1" x14ac:dyDescent="0.4">
      <c r="A83" s="282"/>
      <c r="B83" s="228">
        <v>6</v>
      </c>
      <c r="C83" s="3">
        <v>20885</v>
      </c>
      <c r="D83" s="3" t="str">
        <f>VLOOKUP(C83,'Project Status'!C:H,6,FALSE)</f>
        <v>BIOMOLECULAR NMR</v>
      </c>
      <c r="E83" s="3" t="str">
        <f>VLOOKUP(C83,'Project Status'!C:I,7,FALSE)</f>
        <v>NMR - Replace Air Compressors</v>
      </c>
      <c r="F83" s="3" t="str">
        <f>VLOOKUP(C83,'Project Status'!C:K,8,FALSE)</f>
        <v>Active</v>
      </c>
      <c r="G83" s="3" t="str">
        <f>VLOOKUP(C83,'Project Status'!C:L,9,FALSE)</f>
        <v>Construction</v>
      </c>
      <c r="H83" s="284"/>
      <c r="I83" s="206">
        <f>VLOOKUP(C83,'Project Status'!C:V,19,FALSE)</f>
        <v>30000</v>
      </c>
      <c r="J83" s="229">
        <f>VLOOKUP(C83,'Project Status'!C:V,20,FALSE)</f>
        <v>0</v>
      </c>
      <c r="K83" s="155">
        <f t="shared" si="13"/>
        <v>30000</v>
      </c>
      <c r="L83" s="230"/>
      <c r="M83" s="265"/>
    </row>
    <row r="84" spans="1:13" s="3" customFormat="1" x14ac:dyDescent="0.4">
      <c r="A84" s="282"/>
      <c r="B84" s="228">
        <v>7</v>
      </c>
      <c r="C84" s="3">
        <v>20940</v>
      </c>
      <c r="D84" s="3" t="str">
        <f>VLOOKUP(C84,'Project Status'!C:H,6,FALSE)</f>
        <v>1025 16TH AVE S</v>
      </c>
      <c r="E84" s="3" t="str">
        <f>VLOOKUP(C84,'Project Status'!C:I,7,FALSE)</f>
        <v>1025 16th Avenue - Security System Replacement</v>
      </c>
      <c r="F84" s="3" t="str">
        <f>VLOOKUP(C84,'Project Status'!C:K,8,FALSE)</f>
        <v>Active</v>
      </c>
      <c r="G84" s="3" t="str">
        <f>VLOOKUP(C84,'Project Status'!C:L,9,FALSE)</f>
        <v>Construction</v>
      </c>
      <c r="H84" s="284"/>
      <c r="I84" s="206">
        <f>VLOOKUP(C84,'Project Status'!C:V,19,FALSE)</f>
        <v>309548.64</v>
      </c>
      <c r="J84" s="229">
        <f>VLOOKUP(C84,'Project Status'!C:V,20,FALSE)</f>
        <v>0</v>
      </c>
      <c r="K84" s="155">
        <f t="shared" si="13"/>
        <v>309548.64</v>
      </c>
      <c r="L84" s="230"/>
      <c r="M84" s="265" t="str">
        <f>VLOOKUP(C84,'Project Status'!C:M,10,FALSE)</f>
        <v>Sean Rewers</v>
      </c>
    </row>
    <row r="85" spans="1:13" x14ac:dyDescent="0.4">
      <c r="A85" s="282"/>
      <c r="B85" s="228">
        <v>8</v>
      </c>
      <c r="C85">
        <v>20958</v>
      </c>
      <c r="D85" t="str">
        <f>VLOOKUP(C85,'Project Status'!C:H,6,FALSE)</f>
        <v>FURMAN HALL</v>
      </c>
      <c r="E85" t="str">
        <f>VLOOKUP(C85,'Project Status'!C:I,7,FALSE)</f>
        <v>Furman Hall - Elevator Modernization</v>
      </c>
      <c r="F85" t="str">
        <f>VLOOKUP(C85,'Project Status'!C:K,8,FALSE)</f>
        <v>Active</v>
      </c>
      <c r="G85" t="str">
        <f>VLOOKUP(C85,'Project Status'!C:L,9,FALSE)</f>
        <v>Construction</v>
      </c>
      <c r="H85" s="284"/>
      <c r="I85" s="206">
        <f>VLOOKUP(C85,'Project Status'!C:V,19,FALSE)</f>
        <v>243454</v>
      </c>
      <c r="J85" s="229">
        <f>VLOOKUP(C85,'Project Status'!C:V,20,FALSE)</f>
        <v>0</v>
      </c>
      <c r="K85" s="155">
        <f t="shared" si="13"/>
        <v>243454</v>
      </c>
      <c r="L85" s="230"/>
      <c r="M85" s="265" t="str">
        <f>VLOOKUP(C85,'Project Status'!C:M,10,FALSE)</f>
        <v>Ben Bedock</v>
      </c>
    </row>
    <row r="86" spans="1:13" s="3" customFormat="1" x14ac:dyDescent="0.4">
      <c r="A86" s="282"/>
      <c r="B86" s="228">
        <v>9</v>
      </c>
      <c r="C86" s="3">
        <v>20962</v>
      </c>
      <c r="D86" s="3" t="str">
        <f>VLOOKUP(C86,'Project Status'!C:H,6,FALSE)</f>
        <v>VAUGHN HOME</v>
      </c>
      <c r="E86" s="3" t="str">
        <f>VLOOKUP(C86,'Project Status'!C:I,7,FALSE)</f>
        <v>Vaughn Home - Roof Replacement</v>
      </c>
      <c r="F86" s="3" t="str">
        <f>VLOOKUP(C86,'Project Status'!C:K,8,FALSE)</f>
        <v>Active</v>
      </c>
      <c r="G86" s="3" t="str">
        <f>VLOOKUP(C86,'Project Status'!C:L,9,FALSE)</f>
        <v>Award</v>
      </c>
      <c r="H86" s="284"/>
      <c r="I86" s="206">
        <f>VLOOKUP(C86,'Project Status'!C:V,19,FALSE)</f>
        <v>1800</v>
      </c>
      <c r="J86" s="229">
        <f>VLOOKUP(C86,'Project Status'!C:V,20,FALSE)</f>
        <v>2000000</v>
      </c>
      <c r="K86" s="155">
        <f t="shared" si="13"/>
        <v>2001800</v>
      </c>
      <c r="L86" s="230"/>
      <c r="M86" s="265" t="str">
        <f>VLOOKUP(C86,'Project Status'!C:M,10,FALSE)</f>
        <v>Ben Bedock</v>
      </c>
    </row>
    <row r="87" spans="1:13" s="3" customFormat="1" x14ac:dyDescent="0.4">
      <c r="A87" s="282"/>
      <c r="B87" s="228">
        <v>10</v>
      </c>
      <c r="C87" s="3">
        <v>20982</v>
      </c>
      <c r="D87" s="3" t="str">
        <f>VLOOKUP(C87,'Project Status'!C:H,6,FALSE)</f>
        <v>LAW SCHOOL</v>
      </c>
      <c r="E87" s="3" t="str">
        <f>VLOOKUP(C87,'Project Status'!C:I,7,FALSE)</f>
        <v>Law School - Elevator 1 Modernization</v>
      </c>
      <c r="F87" s="3" t="str">
        <f>VLOOKUP(C87,'Project Status'!C:K,8,FALSE)</f>
        <v>Active</v>
      </c>
      <c r="G87" s="3" t="str">
        <f>VLOOKUP(C87,'Project Status'!C:L,9,FALSE)</f>
        <v>Construction</v>
      </c>
      <c r="H87" s="284"/>
      <c r="I87" s="206">
        <f>VLOOKUP(C87,'Project Status'!C:V,19,FALSE)</f>
        <v>253825</v>
      </c>
      <c r="J87" s="229">
        <f>VLOOKUP(C87,'Project Status'!C:V,20,FALSE)</f>
        <v>0</v>
      </c>
      <c r="K87" s="155">
        <f t="shared" si="13"/>
        <v>253825</v>
      </c>
      <c r="L87" s="230"/>
      <c r="M87" s="265" t="str">
        <f>VLOOKUP(C87,'Project Status'!C:M,10,FALSE)</f>
        <v>Ben Bedock</v>
      </c>
    </row>
    <row r="88" spans="1:13" s="3" customFormat="1" ht="14.7" customHeight="1" x14ac:dyDescent="0.4">
      <c r="A88" s="282"/>
      <c r="B88" s="228">
        <v>11</v>
      </c>
      <c r="C88" s="3">
        <v>20984</v>
      </c>
      <c r="D88" s="3" t="str">
        <f>VLOOKUP(C88,'Project Status'!C:H,6,FALSE)</f>
        <v>WILSON HALL</v>
      </c>
      <c r="E88" s="3" t="str">
        <f>VLOOKUP(C88,'Project Status'!C:I,7,FALSE)</f>
        <v>Wilson Hall - 1st Floor Urinal Replacement</v>
      </c>
      <c r="F88" s="3" t="str">
        <f>VLOOKUP(C88,'Project Status'!C:K,8,FALSE)</f>
        <v>Active</v>
      </c>
      <c r="G88" s="3" t="str">
        <f>VLOOKUP(C88,'Project Status'!C:L,9,FALSE)</f>
        <v>Warranty or Construction Closeout</v>
      </c>
      <c r="H88" s="284"/>
      <c r="I88" s="206">
        <f>VLOOKUP(C88,'Project Status'!C:V,19,FALSE)</f>
        <v>167000</v>
      </c>
      <c r="J88" s="229">
        <f>VLOOKUP(C88,'Project Status'!C:V,20,FALSE)</f>
        <v>0</v>
      </c>
      <c r="K88" s="155">
        <f t="shared" si="13"/>
        <v>167000</v>
      </c>
      <c r="L88" s="230"/>
      <c r="M88" s="265" t="str">
        <f>VLOOKUP(C88,'Project Status'!C:M,10,FALSE)</f>
        <v>Hans Mooy</v>
      </c>
    </row>
    <row r="89" spans="1:13" s="3" customFormat="1" ht="14.7" customHeight="1" x14ac:dyDescent="0.4">
      <c r="A89" s="282"/>
      <c r="B89" s="228">
        <v>12</v>
      </c>
      <c r="C89" s="3">
        <v>21004</v>
      </c>
      <c r="D89" s="3" t="str">
        <f>VLOOKUP(C89,'Project Status'!C:H,6,FALSE)</f>
        <v>SC SCIENCE &amp; ENGINEERING</v>
      </c>
      <c r="E89" s="3" t="str">
        <f>VLOOKUP(C89,'Project Status'!C:I,7,FALSE)</f>
        <v>SC5 - HVAC Upgrade Floors 1 and 2 (Phase 1)</v>
      </c>
      <c r="F89" s="3" t="str">
        <f>VLOOKUP(C89,'Project Status'!C:K,8,FALSE)</f>
        <v>Active</v>
      </c>
      <c r="G89" s="3" t="str">
        <f>VLOOKUP(C89,'Project Status'!C:L,9,FALSE)</f>
        <v>Programming or Planning</v>
      </c>
      <c r="H89" s="284"/>
      <c r="I89" s="206">
        <f>VLOOKUP(C89,'Project Status'!C:V,19,FALSE)</f>
        <v>54000</v>
      </c>
      <c r="J89" s="229">
        <f>VLOOKUP(C89,'Project Status'!C:V,20,FALSE)</f>
        <v>0</v>
      </c>
      <c r="K89" s="155">
        <f t="shared" si="13"/>
        <v>54000</v>
      </c>
      <c r="L89" s="263"/>
      <c r="M89" s="265" t="str">
        <f>VLOOKUP(C89,'Project Status'!C:M,10,FALSE)</f>
        <v>Jay Surprenant</v>
      </c>
    </row>
    <row r="90" spans="1:13" s="3" customFormat="1" ht="14.7" customHeight="1" x14ac:dyDescent="0.4">
      <c r="A90" s="282"/>
      <c r="B90" s="228">
        <v>13</v>
      </c>
      <c r="C90" s="3">
        <v>21010</v>
      </c>
      <c r="D90" s="3" t="str">
        <f>VLOOKUP(C90,'Project Status'!C:H,6,FALSE)</f>
        <v>FEATHERINGILL-JACOBS HALL</v>
      </c>
      <c r="E90" s="3" t="str">
        <f>VLOOKUP(C90,'Project Status'!C:I,7,FALSE)</f>
        <v>Featheringill-Jacobs Hall - Hot Water Tank Replacement</v>
      </c>
      <c r="F90" s="3" t="str">
        <f>VLOOKUP(C90,'Project Status'!C:K,8,FALSE)</f>
        <v>Active</v>
      </c>
      <c r="G90" s="3" t="str">
        <f>VLOOKUP(C90,'Project Status'!C:L,9,FALSE)</f>
        <v>Programming or Planning</v>
      </c>
      <c r="H90" s="284"/>
      <c r="I90" s="206">
        <f>VLOOKUP(C90,'Project Status'!C:V,19,FALSE)</f>
        <v>0</v>
      </c>
      <c r="J90" s="229">
        <f>VLOOKUP(C90,'Project Status'!C:V,20,FALSE)</f>
        <v>0</v>
      </c>
      <c r="K90" s="155">
        <f t="shared" si="13"/>
        <v>0</v>
      </c>
      <c r="L90" s="263"/>
      <c r="M90" s="265" t="str">
        <f>VLOOKUP(C90,'Project Status'!C:M,10,FALSE)</f>
        <v>Sean Rewers</v>
      </c>
    </row>
    <row r="91" spans="1:13" s="3" customFormat="1" ht="14.7" customHeight="1" x14ac:dyDescent="0.4">
      <c r="A91" s="282"/>
      <c r="B91" s="228">
        <v>14</v>
      </c>
      <c r="C91">
        <v>21051</v>
      </c>
      <c r="D91" s="3" t="str">
        <f>VLOOKUP(C91,'Project Status'!C:H,6,FALSE)</f>
        <v>MRB III BIO/SCI</v>
      </c>
      <c r="E91" s="3" t="str">
        <f>VLOOKUP(C91,'Project Status'!C:I,7,FALSE)</f>
        <v>MRBIII - 5th Floor Controls</v>
      </c>
      <c r="F91" s="3" t="str">
        <f>VLOOKUP(C91,'Project Status'!C:K,8,FALSE)</f>
        <v>Active</v>
      </c>
      <c r="G91" s="3" t="str">
        <f>VLOOKUP(C91,'Project Status'!C:L,9,FALSE)</f>
        <v>Programming or Planning</v>
      </c>
      <c r="H91" s="284"/>
      <c r="I91" s="206">
        <f>VLOOKUP(C91,'Project Status'!C:V,19,FALSE)</f>
        <v>0</v>
      </c>
      <c r="J91" s="229">
        <f>VLOOKUP(C91,'Project Status'!C:V,20,FALSE)</f>
        <v>0</v>
      </c>
      <c r="K91" s="155">
        <f t="shared" ref="K91:K105" si="14">SUM(I91:J91)</f>
        <v>0</v>
      </c>
      <c r="L91" s="263"/>
      <c r="M91" s="265"/>
    </row>
    <row r="92" spans="1:13" s="3" customFormat="1" ht="14.7" customHeight="1" x14ac:dyDescent="0.4">
      <c r="A92" s="282"/>
      <c r="B92" s="228">
        <v>15</v>
      </c>
      <c r="C92">
        <v>21066</v>
      </c>
      <c r="D92" s="3" t="str">
        <f>VLOOKUP(C92,'Project Status'!C:H,6,FALSE)</f>
        <v>SC MOLEC BIOLOGY</v>
      </c>
      <c r="E92" s="3" t="str">
        <f>VLOOKUP(C92,'Project Status'!C:I,7,FALSE)</f>
        <v>SC2 - MEP Feasibility Study</v>
      </c>
      <c r="F92" s="3" t="str">
        <f>VLOOKUP(C92,'Project Status'!C:K,8,FALSE)</f>
        <v>Active</v>
      </c>
      <c r="G92" s="3" t="str">
        <f>VLOOKUP(C92,'Project Status'!C:L,9,FALSE)</f>
        <v>Programming or Planning</v>
      </c>
      <c r="H92" s="284"/>
      <c r="I92" s="206">
        <f>VLOOKUP(C92,'Project Status'!C:V,19,FALSE)</f>
        <v>0</v>
      </c>
      <c r="J92" s="229">
        <f>VLOOKUP(C92,'Project Status'!C:V,20,FALSE)</f>
        <v>0</v>
      </c>
      <c r="K92" s="155">
        <f t="shared" si="14"/>
        <v>0</v>
      </c>
      <c r="L92" s="263"/>
      <c r="M92" s="265"/>
    </row>
    <row r="93" spans="1:13" s="3" customFormat="1" ht="14.7" customHeight="1" x14ac:dyDescent="0.4">
      <c r="A93" s="282"/>
      <c r="B93" s="228">
        <v>16</v>
      </c>
      <c r="C93">
        <v>21067</v>
      </c>
      <c r="D93" s="3" t="str">
        <f>VLOOKUP(C93,'Project Status'!C:H,6,FALSE)</f>
        <v>GODCHAUX HALL</v>
      </c>
      <c r="E93" s="3" t="str">
        <f>VLOOKUP(C93,'Project Status'!C:I,7,FALSE)</f>
        <v>Godchaux Hall - Phase 2 HVAC Upgrades</v>
      </c>
      <c r="F93" s="3" t="str">
        <f>VLOOKUP(C93,'Project Status'!C:K,8,FALSE)</f>
        <v>Active</v>
      </c>
      <c r="G93" s="3" t="str">
        <f>VLOOKUP(C93,'Project Status'!C:L,9,FALSE)</f>
        <v>Design</v>
      </c>
      <c r="H93" s="284"/>
      <c r="I93" s="206">
        <f>VLOOKUP(C93,'Project Status'!C:V,19,FALSE)</f>
        <v>0</v>
      </c>
      <c r="J93" s="229">
        <f>VLOOKUP(C93,'Project Status'!C:V,20,FALSE)</f>
        <v>0</v>
      </c>
      <c r="K93" s="155">
        <f t="shared" si="14"/>
        <v>0</v>
      </c>
      <c r="L93" s="263"/>
      <c r="M93" s="265"/>
    </row>
    <row r="94" spans="1:13" s="3" customFormat="1" ht="14.7" customHeight="1" x14ac:dyDescent="0.4">
      <c r="A94" s="282"/>
      <c r="B94" s="228">
        <v>17</v>
      </c>
      <c r="C94">
        <v>21068</v>
      </c>
      <c r="D94" s="3" t="str">
        <f>VLOOKUP(C94,'Project Status'!C:H,6,FALSE)</f>
        <v>BUTTRICK HALL</v>
      </c>
      <c r="E94" s="3" t="str">
        <f>VLOOKUP(C94,'Project Status'!C:I,7,FALSE)</f>
        <v>Buttrick Hall - Insulate First Floor Slab</v>
      </c>
      <c r="F94" s="3" t="str">
        <f>VLOOKUP(C94,'Project Status'!C:K,8,FALSE)</f>
        <v>Active</v>
      </c>
      <c r="G94" s="3" t="str">
        <f>VLOOKUP(C94,'Project Status'!C:L,9,FALSE)</f>
        <v>Bidding</v>
      </c>
      <c r="H94" s="284"/>
      <c r="I94" s="206">
        <f>VLOOKUP(C94,'Project Status'!C:V,19,FALSE)</f>
        <v>0</v>
      </c>
      <c r="J94" s="229">
        <f>VLOOKUP(C94,'Project Status'!C:V,20,FALSE)</f>
        <v>0</v>
      </c>
      <c r="K94" s="155">
        <f t="shared" si="14"/>
        <v>0</v>
      </c>
      <c r="L94" s="263"/>
      <c r="M94" s="265"/>
    </row>
    <row r="95" spans="1:13" s="3" customFormat="1" ht="14.7" customHeight="1" x14ac:dyDescent="0.4">
      <c r="A95" s="282"/>
      <c r="B95" s="228">
        <v>18</v>
      </c>
      <c r="C95">
        <v>21070</v>
      </c>
      <c r="D95" s="3" t="str">
        <f>VLOOKUP(C95,'Project Status'!C:H,6,FALSE)</f>
        <v>OLIN HALL</v>
      </c>
      <c r="E95" s="3" t="str">
        <f>VLOOKUP(C95,'Project Status'!C:I,7,FALSE)</f>
        <v>Olin Hall - Exterior Facade Cleaning</v>
      </c>
      <c r="F95" s="3" t="str">
        <f>VLOOKUP(C95,'Project Status'!C:K,8,FALSE)</f>
        <v>Active</v>
      </c>
      <c r="G95" s="3" t="str">
        <f>VLOOKUP(C95,'Project Status'!C:L,9,FALSE)</f>
        <v>Programming or Planning</v>
      </c>
      <c r="H95" s="284"/>
      <c r="I95" s="206">
        <f>VLOOKUP(C95,'Project Status'!C:V,19,FALSE)</f>
        <v>0</v>
      </c>
      <c r="J95" s="229">
        <f>VLOOKUP(C95,'Project Status'!C:V,20,FALSE)</f>
        <v>0</v>
      </c>
      <c r="K95" s="155">
        <f t="shared" si="14"/>
        <v>0</v>
      </c>
      <c r="L95" s="263"/>
      <c r="M95" s="265"/>
    </row>
    <row r="96" spans="1:13" s="3" customFormat="1" ht="14.7" customHeight="1" x14ac:dyDescent="0.4">
      <c r="A96" s="282"/>
      <c r="B96" s="228">
        <v>19</v>
      </c>
      <c r="C96">
        <v>21071</v>
      </c>
      <c r="D96" s="3" t="str">
        <f>VLOOKUP(C96,'Project Status'!C:H,6,FALSE)</f>
        <v>SC MATH</v>
      </c>
      <c r="E96" s="3" t="str">
        <f>VLOOKUP(C96,'Project Status'!C:I,7,FALSE)</f>
        <v>SC1 - MEP Feasibility Study</v>
      </c>
      <c r="F96" s="3" t="str">
        <f>VLOOKUP(C96,'Project Status'!C:K,8,FALSE)</f>
        <v>Active</v>
      </c>
      <c r="G96" s="3" t="str">
        <f>VLOOKUP(C96,'Project Status'!C:L,9,FALSE)</f>
        <v>Programming or Planning</v>
      </c>
      <c r="H96" s="284"/>
      <c r="I96" s="206">
        <f>VLOOKUP(C96,'Project Status'!C:V,19,FALSE)</f>
        <v>0</v>
      </c>
      <c r="J96" s="229">
        <f>VLOOKUP(C96,'Project Status'!C:V,20,FALSE)</f>
        <v>0</v>
      </c>
      <c r="K96" s="155">
        <f t="shared" si="14"/>
        <v>0</v>
      </c>
      <c r="L96" s="263"/>
      <c r="M96" s="265"/>
    </row>
    <row r="97" spans="1:13" s="3" customFormat="1" ht="14.7" customHeight="1" x14ac:dyDescent="0.4">
      <c r="A97" s="282"/>
      <c r="B97" s="228">
        <v>20</v>
      </c>
      <c r="C97">
        <v>21072</v>
      </c>
      <c r="D97" s="3" t="str">
        <f>VLOOKUP(C97,'Project Status'!C:H,6,FALSE)</f>
        <v>CALHOUN HALL</v>
      </c>
      <c r="E97" s="3" t="str">
        <f>VLOOKUP(C97,'Project Status'!C:I,7,FALSE)</f>
        <v>Calhoun Hall - MEP Feasibility Study</v>
      </c>
      <c r="F97" s="3" t="str">
        <f>VLOOKUP(C97,'Project Status'!C:K,8,FALSE)</f>
        <v>Active</v>
      </c>
      <c r="G97" s="3" t="str">
        <f>VLOOKUP(C97,'Project Status'!C:L,9,FALSE)</f>
        <v>Programming or Planning</v>
      </c>
      <c r="H97" s="284"/>
      <c r="I97" s="206">
        <f>VLOOKUP(C97,'Project Status'!C:V,19,FALSE)</f>
        <v>0</v>
      </c>
      <c r="J97" s="229">
        <f>VLOOKUP(C97,'Project Status'!C:V,20,FALSE)</f>
        <v>0</v>
      </c>
      <c r="K97" s="155">
        <f t="shared" si="14"/>
        <v>0</v>
      </c>
      <c r="L97" s="263"/>
      <c r="M97" s="265"/>
    </row>
    <row r="98" spans="1:13" s="3" customFormat="1" ht="14.7" customHeight="1" x14ac:dyDescent="0.4">
      <c r="A98" s="282"/>
      <c r="B98" s="228">
        <v>21</v>
      </c>
      <c r="C98">
        <v>21073</v>
      </c>
      <c r="D98" s="3" t="str">
        <f>VLOOKUP(C98,'Project Status'!C:H,6,FALSE)</f>
        <v>FURMAN HALL</v>
      </c>
      <c r="E98" s="3" t="str">
        <f>VLOOKUP(C98,'Project Status'!C:I,7,FALSE)</f>
        <v>Furman Hall - MEP Feasibility Study</v>
      </c>
      <c r="F98" s="3" t="str">
        <f>VLOOKUP(C98,'Project Status'!C:K,8,FALSE)</f>
        <v>Active</v>
      </c>
      <c r="G98" s="3" t="str">
        <f>VLOOKUP(C98,'Project Status'!C:L,9,FALSE)</f>
        <v>Programming or Planning</v>
      </c>
      <c r="H98" s="284"/>
      <c r="I98" s="206">
        <f>VLOOKUP(C98,'Project Status'!C:V,19,FALSE)</f>
        <v>0</v>
      </c>
      <c r="J98" s="229">
        <f>VLOOKUP(C98,'Project Status'!C:V,20,FALSE)</f>
        <v>0</v>
      </c>
      <c r="K98" s="155">
        <f t="shared" si="14"/>
        <v>0</v>
      </c>
      <c r="L98" s="263"/>
      <c r="M98" s="265"/>
    </row>
    <row r="99" spans="1:13" s="3" customFormat="1" ht="14.7" customHeight="1" x14ac:dyDescent="0.4">
      <c r="A99" s="282"/>
      <c r="B99" s="228">
        <v>22</v>
      </c>
      <c r="C99">
        <v>21074</v>
      </c>
      <c r="D99" s="3" t="str">
        <f>VLOOKUP(C99,'Project Status'!C:H,6,FALSE)</f>
        <v>LAW SCHOOL</v>
      </c>
      <c r="E99" s="3" t="str">
        <f>VLOOKUP(C99,'Project Status'!C:I,7,FALSE)</f>
        <v>Law School - MEP Feasibility Study</v>
      </c>
      <c r="F99" s="3" t="str">
        <f>VLOOKUP(C99,'Project Status'!C:K,8,FALSE)</f>
        <v>Active</v>
      </c>
      <c r="G99" s="3" t="str">
        <f>VLOOKUP(C99,'Project Status'!C:L,9,FALSE)</f>
        <v>Programming or Planning</v>
      </c>
      <c r="H99" s="284"/>
      <c r="I99" s="206">
        <f>VLOOKUP(C99,'Project Status'!C:V,19,FALSE)</f>
        <v>0</v>
      </c>
      <c r="J99" s="229">
        <f>VLOOKUP(C99,'Project Status'!C:V,20,FALSE)</f>
        <v>0</v>
      </c>
      <c r="K99" s="155">
        <f t="shared" si="14"/>
        <v>0</v>
      </c>
      <c r="L99" s="263"/>
      <c r="M99" s="265"/>
    </row>
    <row r="100" spans="1:13" s="276" customFormat="1" ht="14.7" customHeight="1" x14ac:dyDescent="0.4">
      <c r="A100" s="282"/>
      <c r="B100" s="296">
        <v>23</v>
      </c>
      <c r="C100" s="276">
        <v>21076</v>
      </c>
      <c r="D100" s="276" t="str">
        <f>VLOOKUP(C100,'Project Status'!C:H,6,FALSE)</f>
        <v>2500 KENSINGTON PL</v>
      </c>
      <c r="E100" s="276" t="str">
        <f>VLOOKUP(C100,'Project Status'!C:I,7,FALSE)</f>
        <v>2500 Kensington Place - Sewer Line Replacement</v>
      </c>
      <c r="F100" s="276" t="str">
        <f>VLOOKUP(C100,'Project Status'!C:K,8,FALSE)</f>
        <v>Active</v>
      </c>
      <c r="G100" s="276" t="str">
        <f>VLOOKUP(C100,'Project Status'!C:L,9,FALSE)</f>
        <v>Not Started</v>
      </c>
      <c r="H100" s="284"/>
      <c r="I100" s="297">
        <f>VLOOKUP(C100,'Project Status'!C:V,19,FALSE)</f>
        <v>0</v>
      </c>
      <c r="J100" s="298">
        <f>VLOOKUP(C100,'Project Status'!C:V,20,FALSE)</f>
        <v>0</v>
      </c>
      <c r="K100" s="299">
        <f t="shared" si="14"/>
        <v>0</v>
      </c>
      <c r="L100" s="300"/>
      <c r="M100" s="301"/>
    </row>
    <row r="101" spans="1:13" s="3" customFormat="1" ht="14.7" customHeight="1" x14ac:dyDescent="0.4">
      <c r="A101" s="282"/>
      <c r="B101" s="228">
        <v>24</v>
      </c>
      <c r="C101">
        <v>21094</v>
      </c>
      <c r="D101" s="3" t="str">
        <f>VLOOKUP(C101,'Project Status'!C:H,6,FALSE)</f>
        <v>GODCHAUX HALL</v>
      </c>
      <c r="E101" s="3" t="str">
        <f>VLOOKUP(C101,'Project Status'!C:I,7,FALSE)</f>
        <v>Godchaux Hall - Replace Fire Pump</v>
      </c>
      <c r="F101" s="3" t="str">
        <f>VLOOKUP(C101,'Project Status'!C:K,8,FALSE)</f>
        <v>Active</v>
      </c>
      <c r="G101" s="3" t="str">
        <f>VLOOKUP(C101,'Project Status'!C:L,9,FALSE)</f>
        <v>Programming or Planning</v>
      </c>
      <c r="H101" s="284"/>
      <c r="I101" s="206">
        <f>VLOOKUP(C101,'Project Status'!C:V,19,FALSE)</f>
        <v>0</v>
      </c>
      <c r="J101" s="229">
        <f>VLOOKUP(C101,'Project Status'!C:V,20,FALSE)</f>
        <v>0</v>
      </c>
      <c r="K101" s="155">
        <f t="shared" si="14"/>
        <v>0</v>
      </c>
      <c r="L101" s="263"/>
      <c r="M101" s="265"/>
    </row>
    <row r="102" spans="1:13" s="3" customFormat="1" ht="14.7" customHeight="1" x14ac:dyDescent="0.4">
      <c r="A102" s="282"/>
      <c r="B102" s="228">
        <v>25</v>
      </c>
      <c r="C102">
        <v>21107</v>
      </c>
      <c r="D102" s="3" t="str">
        <f>VLOOKUP(C102,'Project Status'!C:H,6,FALSE)</f>
        <v>BLAIR SCHOOL OF MUSIC</v>
      </c>
      <c r="E102" s="3" t="str">
        <f>VLOOKUP(C102,'Project Status'!C:I,7,FALSE)</f>
        <v>Blair School of Music - Locker Replacement</v>
      </c>
      <c r="F102" s="3" t="str">
        <f>VLOOKUP(C102,'Project Status'!C:K,8,FALSE)</f>
        <v>Active</v>
      </c>
      <c r="G102" s="3" t="str">
        <f>VLOOKUP(C102,'Project Status'!C:L,9,FALSE)</f>
        <v>Not Started</v>
      </c>
      <c r="H102" s="284"/>
      <c r="I102" s="206">
        <f>VLOOKUP(C102,'Project Status'!C:V,19,FALSE)</f>
        <v>0</v>
      </c>
      <c r="J102" s="229">
        <f>VLOOKUP(C102,'Project Status'!C:V,20,FALSE)</f>
        <v>0</v>
      </c>
      <c r="K102" s="155">
        <f t="shared" si="14"/>
        <v>0</v>
      </c>
      <c r="L102" s="263"/>
      <c r="M102" s="265"/>
    </row>
    <row r="103" spans="1:13" s="3" customFormat="1" ht="14.7" customHeight="1" x14ac:dyDescent="0.4">
      <c r="A103" s="282"/>
      <c r="B103" s="228">
        <v>26</v>
      </c>
      <c r="C103">
        <v>21108</v>
      </c>
      <c r="D103" s="3" t="str">
        <f>VLOOKUP(C103,'Project Status'!C:H,6,FALSE)</f>
        <v>1025 16TH AVE S</v>
      </c>
      <c r="E103" s="3" t="str">
        <f>VLOOKUP(C103,'Project Status'!C:I,7,FALSE)</f>
        <v>1025 16th Avenue - Electrical and HVAC Study</v>
      </c>
      <c r="F103" s="3" t="str">
        <f>VLOOKUP(C103,'Project Status'!C:K,8,FALSE)</f>
        <v>Active</v>
      </c>
      <c r="G103" s="3" t="str">
        <f>VLOOKUP(C103,'Project Status'!C:L,9,FALSE)</f>
        <v>Design</v>
      </c>
      <c r="H103" s="284"/>
      <c r="I103" s="206">
        <f>VLOOKUP(C103,'Project Status'!C:V,19,FALSE)</f>
        <v>0</v>
      </c>
      <c r="J103" s="229">
        <f>VLOOKUP(C103,'Project Status'!C:V,20,FALSE)</f>
        <v>0</v>
      </c>
      <c r="K103" s="155">
        <f t="shared" si="14"/>
        <v>0</v>
      </c>
      <c r="L103" s="263"/>
      <c r="M103" s="265"/>
    </row>
    <row r="104" spans="1:13" s="3" customFormat="1" ht="14.7" customHeight="1" x14ac:dyDescent="0.4">
      <c r="A104" s="282"/>
      <c r="B104" s="228">
        <v>27</v>
      </c>
      <c r="C104">
        <v>21113</v>
      </c>
      <c r="D104" s="3" t="str">
        <f>VLOOKUP(C104,'Project Status'!C:H,6,FALSE)</f>
        <v>MRB III BIO/SCI</v>
      </c>
      <c r="E104" s="3" t="str">
        <f>VLOOKUP(C104,'Project Status'!C:I,7,FALSE)</f>
        <v>MRBIII - Lecture Hall V1220 Lighting Upgrade</v>
      </c>
      <c r="F104" s="3" t="str">
        <f>VLOOKUP(C104,'Project Status'!C:K,8,FALSE)</f>
        <v>Active</v>
      </c>
      <c r="G104" s="3" t="str">
        <f>VLOOKUP(C104,'Project Status'!C:L,9,FALSE)</f>
        <v>Programming or Planning</v>
      </c>
      <c r="H104" s="284"/>
      <c r="I104" s="206">
        <f>VLOOKUP(C104,'Project Status'!C:V,19,FALSE)</f>
        <v>0</v>
      </c>
      <c r="J104" s="229">
        <f>VLOOKUP(C104,'Project Status'!C:V,20,FALSE)</f>
        <v>0</v>
      </c>
      <c r="K104" s="155">
        <f t="shared" si="14"/>
        <v>0</v>
      </c>
      <c r="L104" s="263"/>
      <c r="M104" s="265"/>
    </row>
    <row r="105" spans="1:13" s="3" customFormat="1" ht="14.7" customHeight="1" x14ac:dyDescent="0.4">
      <c r="A105" s="282"/>
      <c r="B105" s="228">
        <v>28</v>
      </c>
      <c r="C105">
        <v>21114</v>
      </c>
      <c r="D105" s="3" t="str">
        <f>VLOOKUP(C105,'Project Status'!C:H,6,FALSE)</f>
        <v>MRB III BIO/SCI</v>
      </c>
      <c r="E105" s="3" t="str">
        <f>VLOOKUP(C105,'Project Status'!C:I,7,FALSE)</f>
        <v>MRBIII - Chemical Discharge Tank Replacement</v>
      </c>
      <c r="F105" s="3" t="str">
        <f>VLOOKUP(C105,'Project Status'!C:K,8,FALSE)</f>
        <v>Active</v>
      </c>
      <c r="G105" s="3" t="str">
        <f>VLOOKUP(C105,'Project Status'!C:L,9,FALSE)</f>
        <v>Programming or Planning</v>
      </c>
      <c r="H105" s="284"/>
      <c r="I105" s="206">
        <f>VLOOKUP(C105,'Project Status'!C:V,19,FALSE)</f>
        <v>0</v>
      </c>
      <c r="J105" s="229">
        <f>VLOOKUP(C105,'Project Status'!C:V,20,FALSE)</f>
        <v>0</v>
      </c>
      <c r="K105" s="155">
        <f t="shared" si="14"/>
        <v>0</v>
      </c>
      <c r="L105" s="263"/>
      <c r="M105" s="265"/>
    </row>
    <row r="106" spans="1:13" s="3" customFormat="1" ht="14.7" customHeight="1" x14ac:dyDescent="0.4">
      <c r="A106" s="282"/>
      <c r="B106" s="228"/>
      <c r="H106" s="284"/>
      <c r="I106" s="206"/>
      <c r="J106" s="229"/>
      <c r="K106" s="155"/>
      <c r="L106" s="262" t="s">
        <v>380</v>
      </c>
      <c r="M106" s="265"/>
    </row>
    <row r="107" spans="1:13" ht="14.7" customHeight="1" x14ac:dyDescent="0.4">
      <c r="A107" s="282"/>
      <c r="D107" s="3"/>
      <c r="E107" s="276"/>
      <c r="F107" s="3"/>
      <c r="G107" s="3"/>
      <c r="H107" s="284"/>
      <c r="I107" s="206"/>
      <c r="J107" s="229"/>
      <c r="K107" s="155"/>
      <c r="L107" s="262" t="s">
        <v>381</v>
      </c>
      <c r="M107" s="266"/>
    </row>
    <row r="108" spans="1:13" s="20" customFormat="1" ht="14.7" customHeight="1" x14ac:dyDescent="0.4">
      <c r="A108" s="282"/>
      <c r="D108" s="216"/>
      <c r="E108" s="276"/>
      <c r="F108" s="216"/>
      <c r="G108" s="216"/>
      <c r="H108" s="284"/>
      <c r="I108" s="206"/>
      <c r="J108" s="229"/>
      <c r="K108" s="155"/>
      <c r="L108" s="262"/>
      <c r="M108" s="268"/>
    </row>
    <row r="109" spans="1:13" ht="14.7" customHeight="1" x14ac:dyDescent="0.4">
      <c r="A109" s="282"/>
      <c r="C109" s="216">
        <v>20179</v>
      </c>
      <c r="D109" s="216" t="str">
        <f>VLOOKUP(C109,'Project Status'!C:H,6,FALSE)</f>
        <v>LAW SCHOOL</v>
      </c>
      <c r="E109" s="216" t="str">
        <f>VLOOKUP(C109,'Project Status'!C:I,7,FALSE)</f>
        <v>Law School - Fire Alarm System Replacement</v>
      </c>
      <c r="F109" s="216" t="str">
        <f>VLOOKUP(C109,'Project Status'!C:K,8,FALSE)</f>
        <v>Complete</v>
      </c>
      <c r="G109" s="216" t="str">
        <f>VLOOKUP(C109,'Project Status'!C:L,9,FALSE)</f>
        <v>Finalized</v>
      </c>
      <c r="H109" s="284"/>
      <c r="I109" s="206">
        <f>VLOOKUP(C109,'Project Status'!C:V,19,FALSE)</f>
        <v>-92965.86</v>
      </c>
      <c r="J109" s="229">
        <f>VLOOKUP(C109,'Project Status'!C:V,20,FALSE)</f>
        <v>0</v>
      </c>
      <c r="K109" s="155">
        <f t="shared" ref="K109" si="15">SUM(I109:J109)</f>
        <v>-92965.86</v>
      </c>
      <c r="L109" s="263">
        <f>L75</f>
        <v>169023.08999999985</v>
      </c>
      <c r="M109" s="266"/>
    </row>
    <row r="110" spans="1:13" ht="14.7" customHeight="1" x14ac:dyDescent="0.4">
      <c r="A110" s="282"/>
      <c r="E110" s="21"/>
      <c r="F110" s="21"/>
      <c r="G110" s="21"/>
      <c r="H110" s="284"/>
      <c r="K110" s="147"/>
      <c r="L110" s="227"/>
      <c r="M110" s="266"/>
    </row>
    <row r="111" spans="1:13" x14ac:dyDescent="0.4">
      <c r="A111" s="282"/>
      <c r="E111" s="21"/>
      <c r="F111" s="21"/>
      <c r="G111" s="21"/>
      <c r="H111" s="284"/>
      <c r="K111" s="147"/>
      <c r="L111" s="171"/>
      <c r="M111" s="266"/>
    </row>
    <row r="112" spans="1:13" x14ac:dyDescent="0.4">
      <c r="D112" s="147"/>
      <c r="G112" s="274"/>
      <c r="H112" s="284"/>
      <c r="I112" s="156">
        <f>SUM(I78:I111)</f>
        <v>6620521.7799999993</v>
      </c>
      <c r="J112" s="156">
        <f>SUM(J78:J111)</f>
        <v>2561500</v>
      </c>
      <c r="K112" s="156">
        <f>SUM(K78:K111)</f>
        <v>9182021.7800000012</v>
      </c>
      <c r="L112" s="156">
        <f>H78-K112+L109</f>
        <v>3844285.7722652443</v>
      </c>
      <c r="M112" s="264">
        <f>SUM(M78:M111)</f>
        <v>0</v>
      </c>
    </row>
    <row r="113" spans="1:13" x14ac:dyDescent="0.4">
      <c r="D113" s="147"/>
      <c r="I113" s="275" t="b">
        <f>I112='JE LOG_FY25'!C21</f>
        <v>1</v>
      </c>
    </row>
    <row r="114" spans="1:13" x14ac:dyDescent="0.4">
      <c r="A114" s="278" t="s">
        <v>329</v>
      </c>
      <c r="B114" s="183"/>
      <c r="C114" s="183" t="s">
        <v>461</v>
      </c>
      <c r="D114" s="183" t="s">
        <v>114</v>
      </c>
      <c r="E114" s="183" t="s">
        <v>87</v>
      </c>
      <c r="F114" s="223" t="s">
        <v>128</v>
      </c>
      <c r="G114" s="223" t="s">
        <v>129</v>
      </c>
      <c r="H114" s="181" t="s">
        <v>284</v>
      </c>
      <c r="I114" s="184" t="s">
        <v>249</v>
      </c>
      <c r="J114" s="184" t="s">
        <v>282</v>
      </c>
      <c r="K114" s="185" t="s">
        <v>281</v>
      </c>
      <c r="L114" s="182" t="s">
        <v>250</v>
      </c>
    </row>
    <row r="115" spans="1:13" ht="14.7" customHeight="1" x14ac:dyDescent="0.4">
      <c r="A115" s="278"/>
      <c r="B115" s="96">
        <v>1</v>
      </c>
      <c r="C115">
        <v>20489</v>
      </c>
      <c r="D115" t="str">
        <f>VLOOKUP(C115,'Project Status'!C:H,6,FALSE)</f>
        <v>DIVINITY</v>
      </c>
      <c r="E115" t="str">
        <f>VLOOKUP(C115,'Project Status'!C:I,7,FALSE)</f>
        <v>Divinity Air Handling Unit Replacement,(1/3) - Phase 2 with Benton - FY26</v>
      </c>
      <c r="F115" t="str">
        <f>VLOOKUP(C115,'Project Status'!C:K,8,FALSE)</f>
        <v>Active</v>
      </c>
      <c r="G115" t="str">
        <f>VLOOKUP(C115,'Project Status'!C:L,9,FALSE)</f>
        <v>Design</v>
      </c>
      <c r="H115" s="277">
        <f>Contributions!O15</f>
        <v>13263819.65337811</v>
      </c>
      <c r="J115" s="154">
        <f>VLOOKUP(C115,'Project Status'!C:X,21,FALSE)</f>
        <v>0</v>
      </c>
      <c r="K115" s="155">
        <f>I115+J115</f>
        <v>0</v>
      </c>
      <c r="L115" s="53"/>
      <c r="M115" s="20"/>
    </row>
    <row r="116" spans="1:13" x14ac:dyDescent="0.4">
      <c r="A116" s="278"/>
      <c r="B116" s="96">
        <v>2</v>
      </c>
      <c r="C116">
        <v>20925</v>
      </c>
      <c r="D116" t="str">
        <f>VLOOKUP(C116,'Project Status'!C:H,6,FALSE)</f>
        <v>BLAIR SCHOOL OF MUSIC</v>
      </c>
      <c r="E116" t="str">
        <f>VLOOKUP(C116,'Project Status'!C:I,7,FALSE)</f>
        <v>Blair School of Music - AHU 2/3 Replacement  - Phase 2 - FY26</v>
      </c>
      <c r="F116" t="str">
        <f>VLOOKUP(C116,'Project Status'!C:K,8,FALSE)</f>
        <v>Active</v>
      </c>
      <c r="G116" t="str">
        <f>VLOOKUP(C116,'Project Status'!C:L,9,FALSE)</f>
        <v>Design</v>
      </c>
      <c r="H116" s="277"/>
      <c r="J116" s="154">
        <f>VLOOKUP(C116,'Project Status'!C:X,21,FALSE)</f>
        <v>0</v>
      </c>
      <c r="K116" s="155">
        <f>IF(J116="TBD",J116,SUM(I116:J116))</f>
        <v>0</v>
      </c>
      <c r="L116" s="53"/>
      <c r="M116" s="20"/>
    </row>
    <row r="117" spans="1:13" x14ac:dyDescent="0.4">
      <c r="A117" s="278"/>
      <c r="B117" s="96">
        <v>3</v>
      </c>
      <c r="C117" s="3">
        <v>20668</v>
      </c>
      <c r="D117" t="str">
        <f>VLOOKUP(C117,'Project Status'!C:H,6,FALSE)</f>
        <v>KECK FREE ELECTRON LASER CTR</v>
      </c>
      <c r="E117" t="str">
        <f>VLOOKUP(C117,'Project Status'!C:I,7,FALSE)</f>
        <v>Keck FEL - Mechanical Upgrades</v>
      </c>
      <c r="F117" t="str">
        <f>VLOOKUP(C117,'Project Status'!C:K,8,FALSE)</f>
        <v>Active</v>
      </c>
      <c r="G117" t="str">
        <f>VLOOKUP(C117,'Project Status'!C:L,9,FALSE)</f>
        <v>Design</v>
      </c>
      <c r="H117" s="277"/>
      <c r="J117" s="154">
        <f>VLOOKUP(C117,'Project Status'!C:X,21,FALSE)</f>
        <v>0</v>
      </c>
      <c r="K117" s="155">
        <f>IF(J117="TBD",J117,SUM(I117:J117))</f>
        <v>0</v>
      </c>
      <c r="L117" s="53"/>
    </row>
    <row r="118" spans="1:13" x14ac:dyDescent="0.4">
      <c r="A118" s="278"/>
      <c r="B118" s="96">
        <v>4</v>
      </c>
      <c r="C118">
        <v>20563</v>
      </c>
      <c r="D118" t="str">
        <f>VLOOKUP(C118,'Project Status'!C:H,6,FALSE)</f>
        <v>KECK FREE ELECTRON LASER CTR</v>
      </c>
      <c r="E118" t="str">
        <f>VLOOKUP(C118,'Project Status'!C:I,7,FALSE)</f>
        <v>Keck FEL - Roof Replacement</v>
      </c>
      <c r="F118" t="str">
        <f>VLOOKUP(C118,'Project Status'!C:K,8,FALSE)</f>
        <v>Deferred / On Hold</v>
      </c>
      <c r="G118" t="str">
        <f>VLOOKUP(C118,'Project Status'!C:L,9,FALSE)</f>
        <v>Not Started</v>
      </c>
      <c r="H118" s="277"/>
      <c r="J118" s="154">
        <f>VLOOKUP(C118,'Project Status'!C:X,21,FALSE)</f>
        <v>0</v>
      </c>
      <c r="K118" s="155">
        <f>IF(J118="TBD",J118,SUM(I118:J118))</f>
        <v>0</v>
      </c>
      <c r="L118" s="53"/>
    </row>
    <row r="119" spans="1:13" x14ac:dyDescent="0.4">
      <c r="A119" s="278"/>
      <c r="B119" s="96">
        <v>5</v>
      </c>
      <c r="C119">
        <v>20979</v>
      </c>
      <c r="D119" t="str">
        <f>VLOOKUP(C119,'Project Status'!C:H,6,FALSE)</f>
        <v>1025 16TH AVE S</v>
      </c>
      <c r="E119" t="str">
        <f>VLOOKUP(C119,'Project Status'!C:I,7,FALSE)</f>
        <v>1025 16th Avenue - Roof Replacement</v>
      </c>
      <c r="F119" t="str">
        <f>VLOOKUP(C119,'Project Status'!C:K,8,FALSE)</f>
        <v>Active</v>
      </c>
      <c r="G119" t="str">
        <f>VLOOKUP(C119,'Project Status'!C:L,9,FALSE)</f>
        <v>Programming or Planning</v>
      </c>
      <c r="H119" s="277"/>
      <c r="J119" s="154">
        <f>VLOOKUP(C119,'Project Status'!C:X,21,FALSE)</f>
        <v>0</v>
      </c>
      <c r="K119" s="155">
        <f>IF(J119="TBD",J119,SUM(I119:J119))</f>
        <v>0</v>
      </c>
      <c r="L119" s="53"/>
    </row>
    <row r="120" spans="1:13" x14ac:dyDescent="0.4">
      <c r="A120" s="278"/>
      <c r="B120" s="96">
        <v>6</v>
      </c>
      <c r="C120">
        <v>21005</v>
      </c>
      <c r="D120" t="str">
        <f>VLOOKUP(C120,'Project Status'!C:H,6,FALSE)</f>
        <v>SC SCIENCE &amp; ENGINEERING</v>
      </c>
      <c r="E120" t="str">
        <f>VLOOKUP(C120,'Project Status'!C:I,7,FALSE)</f>
        <v>SC5 - HVAC Upgrade Floors 4, 5, and 7 (Phase 2)</v>
      </c>
      <c r="F120" t="str">
        <f>VLOOKUP(C120,'Project Status'!C:K,8,FALSE)</f>
        <v>Deferred / On Hold</v>
      </c>
      <c r="G120" t="str">
        <f>VLOOKUP(C120,'Project Status'!C:L,9,FALSE)</f>
        <v>Programming or Planning</v>
      </c>
      <c r="H120" s="277"/>
      <c r="J120" s="154">
        <f>VLOOKUP(C120,'Project Status'!C:X,21,FALSE)</f>
        <v>0</v>
      </c>
      <c r="K120" s="155">
        <f t="shared" ref="K120" si="16">IF(J120="TBD",J120,SUM(I120:J120))</f>
        <v>0</v>
      </c>
      <c r="L120" s="53"/>
    </row>
    <row r="121" spans="1:13" x14ac:dyDescent="0.4">
      <c r="A121" s="278"/>
      <c r="B121" s="96">
        <v>7</v>
      </c>
      <c r="C121">
        <v>21006</v>
      </c>
      <c r="D121" t="str">
        <f>VLOOKUP(C121,'Project Status'!C:H,6,FALSE)</f>
        <v>SC SCIENCE &amp; ENGINEERING</v>
      </c>
      <c r="E121" t="str">
        <f>VLOOKUP(C121,'Project Status'!C:I,7,FALSE)</f>
        <v>SC5 - HVAC Upgrade Floors 3 and 6 (Phase 3)</v>
      </c>
      <c r="F121" t="str">
        <f>VLOOKUP(C121,'Project Status'!C:K,8,FALSE)</f>
        <v>Deferred / On Hold</v>
      </c>
      <c r="G121" t="str">
        <f>VLOOKUP(C121,'Project Status'!C:L,9,FALSE)</f>
        <v>Programming or Planning</v>
      </c>
      <c r="H121" s="277"/>
      <c r="J121" s="154">
        <f>VLOOKUP(C121,'Project Status'!C:X,21,FALSE)</f>
        <v>0</v>
      </c>
      <c r="K121" s="155">
        <f t="shared" ref="K121:K124" si="17">IF(J121="TBD",J121,SUM(I121:J121))</f>
        <v>0</v>
      </c>
      <c r="L121" s="53"/>
    </row>
    <row r="122" spans="1:13" x14ac:dyDescent="0.4">
      <c r="A122" s="278"/>
      <c r="B122" s="96">
        <v>8</v>
      </c>
      <c r="C122">
        <v>21007</v>
      </c>
      <c r="D122" t="str">
        <f>VLOOKUP(C122,'Project Status'!C:H,6,FALSE)</f>
        <v>SC SCIENCE &amp; ENGINEERING</v>
      </c>
      <c r="E122" t="str">
        <f>VLOOKUP(C122,'Project Status'!C:I,7,FALSE)</f>
        <v>SC5 - HVAC Upgrade Floors 8 and 9 (Phase 4)</v>
      </c>
      <c r="F122" t="str">
        <f>VLOOKUP(C122,'Project Status'!C:K,8,FALSE)</f>
        <v>Deferred / On Hold</v>
      </c>
      <c r="G122" t="str">
        <f>VLOOKUP(C122,'Project Status'!C:L,9,FALSE)</f>
        <v>Programming or Planning</v>
      </c>
      <c r="H122" s="277"/>
      <c r="J122" s="154">
        <f>VLOOKUP(C122,'Project Status'!C:X,21,FALSE)</f>
        <v>0</v>
      </c>
      <c r="K122" s="155">
        <f t="shared" si="17"/>
        <v>0</v>
      </c>
      <c r="L122" s="53"/>
    </row>
    <row r="123" spans="1:13" x14ac:dyDescent="0.4">
      <c r="A123" s="278"/>
      <c r="B123" s="96">
        <v>9</v>
      </c>
      <c r="C123">
        <v>21010</v>
      </c>
      <c r="D123" t="str">
        <f>VLOOKUP(C123,'Project Status'!C:H,6,FALSE)</f>
        <v>FEATHERINGILL-JACOBS HALL</v>
      </c>
      <c r="E123" t="str">
        <f>VLOOKUP(C123,'Project Status'!C:I,7,FALSE)</f>
        <v>Featheringill-Jacobs Hall - Hot Water Tank Replacement</v>
      </c>
      <c r="F123" t="str">
        <f>VLOOKUP(C123,'Project Status'!C:K,8,FALSE)</f>
        <v>Active</v>
      </c>
      <c r="G123" t="str">
        <f>VLOOKUP(C123,'Project Status'!C:L,9,FALSE)</f>
        <v>Programming or Planning</v>
      </c>
      <c r="H123" s="277"/>
      <c r="J123" s="154">
        <f>VLOOKUP(C123,'Project Status'!C:X,21,FALSE)</f>
        <v>0</v>
      </c>
      <c r="K123" s="155">
        <f t="shared" si="17"/>
        <v>0</v>
      </c>
      <c r="L123" s="53"/>
    </row>
    <row r="124" spans="1:13" x14ac:dyDescent="0.4">
      <c r="A124" s="278"/>
      <c r="B124" s="96">
        <v>10</v>
      </c>
      <c r="C124">
        <v>21051</v>
      </c>
      <c r="D124" t="str">
        <f>VLOOKUP(C124,'Project Status'!C:H,6,FALSE)</f>
        <v>MRB III BIO/SCI</v>
      </c>
      <c r="E124" t="str">
        <f>VLOOKUP(C124,'Project Status'!C:I,7,FALSE)</f>
        <v>MRBIII - 5th Floor Controls</v>
      </c>
      <c r="F124" t="str">
        <f>VLOOKUP(C124,'Project Status'!C:K,8,FALSE)</f>
        <v>Active</v>
      </c>
      <c r="G124" t="str">
        <f>VLOOKUP(C124,'Project Status'!C:L,9,FALSE)</f>
        <v>Programming or Planning</v>
      </c>
      <c r="H124" s="277"/>
      <c r="J124" s="154">
        <f>VLOOKUP(C124,'Project Status'!C:X,21,FALSE)</f>
        <v>0</v>
      </c>
      <c r="K124" s="155">
        <f t="shared" si="17"/>
        <v>0</v>
      </c>
      <c r="L124" s="53"/>
    </row>
    <row r="125" spans="1:13" x14ac:dyDescent="0.4">
      <c r="A125" s="278"/>
      <c r="H125" s="277"/>
      <c r="K125" s="147"/>
      <c r="L125" s="53"/>
    </row>
    <row r="126" spans="1:13" x14ac:dyDescent="0.4">
      <c r="A126" s="278"/>
      <c r="H126" s="277"/>
      <c r="K126" s="147"/>
      <c r="L126" s="53"/>
    </row>
    <row r="127" spans="1:13" x14ac:dyDescent="0.4">
      <c r="A127" s="278"/>
      <c r="H127" s="277"/>
      <c r="K127" s="147"/>
      <c r="L127" s="53"/>
    </row>
    <row r="128" spans="1:13" x14ac:dyDescent="0.4">
      <c r="A128" s="278"/>
      <c r="H128" s="277"/>
      <c r="K128" s="147"/>
      <c r="L128" s="53"/>
    </row>
    <row r="129" spans="1:12" x14ac:dyDescent="0.4">
      <c r="A129" s="278"/>
      <c r="H129" s="277"/>
      <c r="K129" s="147"/>
      <c r="L129" s="53"/>
    </row>
    <row r="130" spans="1:12" x14ac:dyDescent="0.4">
      <c r="A130" s="278"/>
      <c r="H130" s="277"/>
      <c r="K130" s="147"/>
      <c r="L130" s="53"/>
    </row>
    <row r="131" spans="1:12" x14ac:dyDescent="0.4">
      <c r="A131" s="278"/>
      <c r="H131" s="277"/>
      <c r="K131" s="147"/>
      <c r="L131" s="53"/>
    </row>
    <row r="132" spans="1:12" x14ac:dyDescent="0.4">
      <c r="A132" s="278"/>
      <c r="H132" s="277"/>
      <c r="K132" s="147"/>
      <c r="L132" s="53"/>
    </row>
    <row r="133" spans="1:12" x14ac:dyDescent="0.4">
      <c r="A133" s="278"/>
      <c r="H133" s="277"/>
      <c r="K133" s="147"/>
      <c r="L133" s="53"/>
    </row>
    <row r="134" spans="1:12" x14ac:dyDescent="0.4">
      <c r="A134" s="278"/>
      <c r="H134" s="277"/>
      <c r="K134" s="147"/>
      <c r="L134" s="53"/>
    </row>
    <row r="135" spans="1:12" x14ac:dyDescent="0.4">
      <c r="A135" s="278"/>
      <c r="H135" s="277"/>
      <c r="K135" s="147"/>
      <c r="L135" s="53"/>
    </row>
    <row r="136" spans="1:12" x14ac:dyDescent="0.4">
      <c r="A136" s="278"/>
      <c r="H136" s="277"/>
      <c r="K136" s="147"/>
      <c r="L136" s="53"/>
    </row>
    <row r="137" spans="1:12" x14ac:dyDescent="0.4">
      <c r="A137" s="278"/>
      <c r="H137" s="277"/>
      <c r="K137" s="147"/>
      <c r="L137" s="53"/>
    </row>
    <row r="138" spans="1:12" x14ac:dyDescent="0.4">
      <c r="A138" s="278"/>
      <c r="H138" s="277"/>
      <c r="K138" s="147"/>
      <c r="L138" s="53"/>
    </row>
    <row r="139" spans="1:12" x14ac:dyDescent="0.4">
      <c r="A139" s="278"/>
      <c r="H139" s="277"/>
      <c r="K139" s="147"/>
      <c r="L139" s="53"/>
    </row>
    <row r="140" spans="1:12" x14ac:dyDescent="0.4">
      <c r="A140" s="278"/>
      <c r="H140" s="277"/>
      <c r="K140" s="147"/>
      <c r="L140" s="53"/>
    </row>
    <row r="141" spans="1:12" x14ac:dyDescent="0.4">
      <c r="A141" s="278"/>
      <c r="H141" s="277"/>
      <c r="K141" s="147"/>
      <c r="L141" s="53"/>
    </row>
    <row r="142" spans="1:12" x14ac:dyDescent="0.4">
      <c r="A142" s="278"/>
      <c r="H142" s="277"/>
      <c r="K142" s="147"/>
      <c r="L142" s="53"/>
    </row>
    <row r="143" spans="1:12" ht="14.7" customHeight="1" x14ac:dyDescent="0.4">
      <c r="A143" s="278"/>
      <c r="H143" s="277"/>
      <c r="K143" s="147"/>
      <c r="L143" s="53"/>
    </row>
    <row r="144" spans="1:12" x14ac:dyDescent="0.4">
      <c r="A144" s="278"/>
      <c r="H144" s="277"/>
      <c r="K144" s="147"/>
      <c r="L144" s="53"/>
    </row>
    <row r="145" spans="8:12" x14ac:dyDescent="0.4">
      <c r="H145" s="277"/>
      <c r="I145" s="180">
        <f t="shared" ref="I145" si="18">SUM(I115:I144)</f>
        <v>0</v>
      </c>
      <c r="J145" s="180">
        <f t="shared" ref="J145" si="19">SUM(J115:J144)</f>
        <v>0</v>
      </c>
      <c r="K145" s="180">
        <f>SUM(K115:K144)</f>
        <v>0</v>
      </c>
      <c r="L145" s="180">
        <f>H115-K145</f>
        <v>13263819.65337811</v>
      </c>
    </row>
  </sheetData>
  <sortState xmlns:xlrd2="http://schemas.microsoft.com/office/spreadsheetml/2017/richdata2" ref="C78:C87">
    <sortCondition ref="C78:C87"/>
  </sortState>
  <mergeCells count="8">
    <mergeCell ref="H115:H145"/>
    <mergeCell ref="A114:A144"/>
    <mergeCell ref="H3:H32"/>
    <mergeCell ref="A2:A31"/>
    <mergeCell ref="A34:A74"/>
    <mergeCell ref="A77:A111"/>
    <mergeCell ref="H35:H75"/>
    <mergeCell ref="H78:H112"/>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53515625" bestFit="1" customWidth="1"/>
    <col min="5" max="5" width="58.69140625" bestFit="1" customWidth="1"/>
    <col min="6" max="6" width="17.53515625" bestFit="1" customWidth="1"/>
    <col min="7" max="7" width="12.3046875" bestFit="1" customWidth="1"/>
    <col min="8" max="9" width="16.53515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10085</v>
      </c>
      <c r="B4" s="11">
        <f>VLOOKUP(A4,'Project Status'!C:D,2,FALSE)</f>
        <v>4591</v>
      </c>
      <c r="C4" s="11">
        <f>VLOOKUP(A4,'Project Status'!C:E,3,FALSE)</f>
        <v>0</v>
      </c>
      <c r="D4" s="11" t="str">
        <f>VLOOKUP(A4,'Project Status'!C:F,4,FALSE)</f>
        <v>21000 - Peabody College: Office of the Dean</v>
      </c>
      <c r="E4" s="11" t="str">
        <f>VLOOKUP(A4,'Project Status'!C:I,7,FALSE)</f>
        <v>One Magnolia Circle - Modify/Upgrade Electrical and Grounding</v>
      </c>
      <c r="F4" s="11" t="str">
        <f>VLOOKUP(A4,'Project Status'!C:K,8,FALSE)</f>
        <v>Complete</v>
      </c>
      <c r="G4" s="11" t="str">
        <f>VLOOKUP(A4,'Project Status'!C:L,9,FALSE)</f>
        <v>Finalized</v>
      </c>
      <c r="H4" s="89">
        <f>VLOOKUP(A4,'Project Status'!C:N,11,FALSE)</f>
        <v>17500</v>
      </c>
      <c r="I4" s="173">
        <f>VLOOKUP(B4,'Project Status'!D:O,11,FALSE)</f>
        <v>22000</v>
      </c>
    </row>
    <row r="8" spans="1:11" x14ac:dyDescent="0.4">
      <c r="E8" s="41" t="s">
        <v>124</v>
      </c>
    </row>
    <row r="9" spans="1:11" x14ac:dyDescent="0.4">
      <c r="E9" s="22" t="s">
        <v>214</v>
      </c>
      <c r="F9" s="33" t="s">
        <v>146</v>
      </c>
      <c r="H9" s="42">
        <v>22000</v>
      </c>
      <c r="I9" s="42"/>
    </row>
    <row r="10" spans="1:11" x14ac:dyDescent="0.4">
      <c r="E10" s="22" t="s">
        <v>299</v>
      </c>
      <c r="F10" t="s">
        <v>300</v>
      </c>
      <c r="H10" s="43">
        <v>-4500</v>
      </c>
      <c r="I10" s="43"/>
    </row>
    <row r="18" spans="5:8" x14ac:dyDescent="0.4">
      <c r="E18" s="136" t="s">
        <v>263</v>
      </c>
      <c r="F18" s="137"/>
      <c r="G18" s="136"/>
      <c r="H18" s="138">
        <f>SUM(H9:H17)</f>
        <v>17500</v>
      </c>
    </row>
    <row r="20" spans="5:8" x14ac:dyDescent="0.4">
      <c r="E20" s="139" t="s">
        <v>136</v>
      </c>
      <c r="F20" s="139"/>
      <c r="G20" s="139"/>
      <c r="H20" s="140">
        <f>I4-H18</f>
        <v>4500</v>
      </c>
    </row>
  </sheetData>
  <hyperlinks>
    <hyperlink ref="K1" location="'Project Status'!A1" display="'Project Status'!A1" xr:uid="{33687509-4DFC-46F4-91EA-B013FA4D8936}"/>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66</vt:i4>
      </vt:variant>
      <vt:variant>
        <vt:lpstr>Named Ranges</vt:lpstr>
      </vt:variant>
      <vt:variant>
        <vt:i4>4</vt:i4>
      </vt:variant>
    </vt:vector>
  </HeadingPairs>
  <TitlesOfParts>
    <vt:vector size="70" baseType="lpstr">
      <vt:lpstr>Guidance</vt:lpstr>
      <vt:lpstr>Summary_for Web-1</vt:lpstr>
      <vt:lpstr>Summary_for Web-2</vt:lpstr>
      <vt:lpstr>Contributions</vt:lpstr>
      <vt:lpstr>Shared Building Allocation</vt:lpstr>
      <vt:lpstr>Summary_by School</vt:lpstr>
      <vt:lpstr>Project Status</vt:lpstr>
      <vt:lpstr>Summary_by FY</vt:lpstr>
      <vt:lpstr>10085</vt:lpstr>
      <vt:lpstr>10098</vt:lpstr>
      <vt:lpstr>10146</vt:lpstr>
      <vt:lpstr>20179</vt:lpstr>
      <vt:lpstr>20336</vt:lpstr>
      <vt:lpstr>20431</vt:lpstr>
      <vt:lpstr>20478</vt:lpstr>
      <vt:lpstr>20489</vt:lpstr>
      <vt:lpstr>20497</vt:lpstr>
      <vt:lpstr>20506</vt:lpstr>
      <vt:lpstr>20562</vt:lpstr>
      <vt:lpstr>20566</vt:lpstr>
      <vt:lpstr>20573</vt:lpstr>
      <vt:lpstr>20574</vt:lpstr>
      <vt:lpstr>20577</vt:lpstr>
      <vt:lpstr>20644</vt:lpstr>
      <vt:lpstr>20645</vt:lpstr>
      <vt:lpstr>20667</vt:lpstr>
      <vt:lpstr>20668</vt:lpstr>
      <vt:lpstr>20698</vt:lpstr>
      <vt:lpstr>20700</vt:lpstr>
      <vt:lpstr>20701</vt:lpstr>
      <vt:lpstr>20702</vt:lpstr>
      <vt:lpstr>20718</vt:lpstr>
      <vt:lpstr>20723</vt:lpstr>
      <vt:lpstr>20724</vt:lpstr>
      <vt:lpstr>20735</vt:lpstr>
      <vt:lpstr>20767</vt:lpstr>
      <vt:lpstr>20771</vt:lpstr>
      <vt:lpstr>20792</vt:lpstr>
      <vt:lpstr>20831</vt:lpstr>
      <vt:lpstr>20832</vt:lpstr>
      <vt:lpstr>20833</vt:lpstr>
      <vt:lpstr>20772</vt:lpstr>
      <vt:lpstr>20811</vt:lpstr>
      <vt:lpstr>20812</vt:lpstr>
      <vt:lpstr>20857</vt:lpstr>
      <vt:lpstr>20884</vt:lpstr>
      <vt:lpstr>20885</vt:lpstr>
      <vt:lpstr>20911</vt:lpstr>
      <vt:lpstr>20912</vt:lpstr>
      <vt:lpstr>20913</vt:lpstr>
      <vt:lpstr>20922</vt:lpstr>
      <vt:lpstr>20924</vt:lpstr>
      <vt:lpstr>20936</vt:lpstr>
      <vt:lpstr>20940</vt:lpstr>
      <vt:lpstr>20945</vt:lpstr>
      <vt:lpstr>20958</vt:lpstr>
      <vt:lpstr>20962</vt:lpstr>
      <vt:lpstr>20982</vt:lpstr>
      <vt:lpstr>20984</vt:lpstr>
      <vt:lpstr>21004</vt:lpstr>
      <vt:lpstr>JE LOG_FY23</vt:lpstr>
      <vt:lpstr>JE LOG_FY24</vt:lpstr>
      <vt:lpstr>JE LOG_FY25</vt:lpstr>
      <vt:lpstr>lookup</vt:lpstr>
      <vt:lpstr>PUC GSF</vt:lpstr>
      <vt:lpstr>Notes</vt:lpstr>
      <vt:lpstr>JE</vt:lpstr>
      <vt:lpstr>'JE LOG_FY24'!list</vt:lpstr>
      <vt:lpstr>list</vt:lpstr>
      <vt:lpstr>'Shared Building Allocation'!Print_Area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Crowhurst, Stacey</cp:lastModifiedBy>
  <cp:lastPrinted>2025-02-06T16:52:25Z</cp:lastPrinted>
  <dcterms:created xsi:type="dcterms:W3CDTF">2021-08-31T18:33:23Z</dcterms:created>
  <dcterms:modified xsi:type="dcterms:W3CDTF">2025-02-06T16:52:44Z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