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39EF7C53-AA3C-4CF5-9AEA-D729268165EC}" xr6:coauthVersionLast="47" xr6:coauthVersionMax="47" xr10:uidLastSave="{00000000-0000-0000-0000-000000000000}"/>
  <bookViews>
    <workbookView xWindow="28680" yWindow="-120" windowWidth="24240" windowHeight="13020" tabRatio="894" activeTab="7"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57" sheetId="53" r:id="rId44"/>
    <sheet name="20884" sheetId="64" r:id="rId45"/>
    <sheet name="20885" sheetId="58" r:id="rId46"/>
    <sheet name="20911" sheetId="56" r:id="rId47"/>
    <sheet name="20912" sheetId="55" r:id="rId48"/>
    <sheet name="20913" sheetId="57" r:id="rId49"/>
    <sheet name="20922" sheetId="67" r:id="rId50"/>
    <sheet name="20924" sheetId="62" r:id="rId51"/>
    <sheet name="20936" sheetId="61" r:id="rId52"/>
    <sheet name="20945" sheetId="59" r:id="rId53"/>
    <sheet name="20958" sheetId="65" r:id="rId54"/>
    <sheet name="20982" sheetId="68" r:id="rId55"/>
    <sheet name="JE LOG_FY23" sheetId="11" r:id="rId56"/>
    <sheet name="JE LOG_FY24" sheetId="48" r:id="rId57"/>
    <sheet name="JE LOG_FY25" sheetId="69" r:id="rId58"/>
    <sheet name="lookup" sheetId="25" r:id="rId59"/>
    <sheet name="PUC GSF" sheetId="1" state="hidden" r:id="rId60"/>
    <sheet name="Notes" sheetId="6" state="hidden" r:id="rId61"/>
  </sheets>
  <definedNames>
    <definedName name="_xlnm._FilterDatabase" localSheetId="6" hidden="1">'Project Status'!$A$3:$P$58</definedName>
    <definedName name="JE">'10098'!$E$9:$H$12</definedName>
    <definedName name="list" localSheetId="56">'JE LOG_FY24'!$T:$T</definedName>
    <definedName name="list" localSheetId="57">'JE LOG_FY25'!#REF!</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62"/>
  </pivotCaches>
  <extLst>
    <ext xmlns:x14="http://schemas.microsoft.com/office/spreadsheetml/2009/9/main" uri="{BBE1A952-AA13-448e-AADC-164F8A28A991}">
      <x14:slicerCaches>
        <x14:slicerCache r:id="rId63"/>
        <x14:slicerCache r:id="rId64"/>
        <x14:slicerCache r:id="rId65"/>
        <x14:slicerCache r:id="rId6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4" i="3" l="1"/>
  <c r="F4" i="69" l="1"/>
  <c r="C9" i="69"/>
  <c r="C18" i="48"/>
  <c r="J100" i="41" l="1"/>
  <c r="K100" i="41" s="1"/>
  <c r="D100" i="41"/>
  <c r="E100" i="41"/>
  <c r="F100" i="41"/>
  <c r="G100" i="41"/>
  <c r="J99" i="41"/>
  <c r="K99" i="41" s="1"/>
  <c r="D99" i="41"/>
  <c r="E99" i="41"/>
  <c r="F99" i="41"/>
  <c r="G99" i="41"/>
  <c r="I7" i="17"/>
  <c r="I8" i="17"/>
  <c r="I9" i="17"/>
  <c r="I10" i="17"/>
  <c r="I11" i="17"/>
  <c r="I12" i="17"/>
  <c r="I13" i="17"/>
  <c r="I14" i="17"/>
  <c r="I15" i="17"/>
  <c r="I16" i="17"/>
  <c r="I17" i="17"/>
  <c r="I18" i="17"/>
  <c r="I19" i="17"/>
  <c r="I20" i="17"/>
  <c r="I21" i="17"/>
  <c r="I22" i="17"/>
  <c r="I23" i="17"/>
  <c r="I26" i="17"/>
  <c r="I27" i="17"/>
  <c r="I28" i="17"/>
  <c r="I29" i="17"/>
  <c r="I30" i="17"/>
  <c r="I31" i="17"/>
  <c r="I32" i="17"/>
  <c r="I33" i="17"/>
  <c r="I34" i="17"/>
  <c r="I35" i="17"/>
  <c r="I37" i="17"/>
  <c r="I38" i="17"/>
  <c r="I39" i="17"/>
  <c r="I40" i="17"/>
  <c r="I41" i="17"/>
  <c r="I42" i="17"/>
  <c r="I43" i="17"/>
  <c r="I44" i="17"/>
  <c r="I45" i="17"/>
  <c r="I46" i="17"/>
  <c r="I47" i="17"/>
  <c r="I48" i="17"/>
  <c r="I49" i="17"/>
  <c r="I50" i="17"/>
  <c r="I51" i="17"/>
  <c r="I52" i="17"/>
  <c r="I53" i="17"/>
  <c r="I54" i="17"/>
  <c r="I55" i="17"/>
  <c r="I56" i="17"/>
  <c r="I57" i="17"/>
  <c r="I59" i="17"/>
  <c r="I6" i="17"/>
  <c r="C14" i="18"/>
  <c r="C13" i="18"/>
  <c r="C12" i="18"/>
  <c r="C11" i="18"/>
  <c r="C10" i="18"/>
  <c r="C9" i="18"/>
  <c r="C8" i="18"/>
  <c r="C7" i="18"/>
  <c r="C6" i="18"/>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4" i="3"/>
  <c r="I79" i="41" l="1"/>
  <c r="I80" i="41"/>
  <c r="I81" i="41"/>
  <c r="I82" i="41"/>
  <c r="I83" i="41"/>
  <c r="I84" i="41"/>
  <c r="I85" i="41"/>
  <c r="I86" i="41"/>
  <c r="I78" i="41"/>
  <c r="J78" i="41"/>
  <c r="J79" i="41"/>
  <c r="J80" i="41"/>
  <c r="J81" i="41"/>
  <c r="J82" i="41"/>
  <c r="K82" i="41" s="1"/>
  <c r="J83" i="41"/>
  <c r="K83" i="41" s="1"/>
  <c r="J84" i="41"/>
  <c r="K84" i="41" s="1"/>
  <c r="J85" i="41"/>
  <c r="K85" i="41" s="1"/>
  <c r="J86" i="41"/>
  <c r="K86" i="41" s="1"/>
  <c r="I20" i="8"/>
  <c r="M6" i="8"/>
  <c r="M7" i="8"/>
  <c r="M8" i="8"/>
  <c r="M9" i="8"/>
  <c r="M10" i="8"/>
  <c r="M11" i="8"/>
  <c r="M12" i="8"/>
  <c r="M13" i="8"/>
  <c r="M5" i="8"/>
  <c r="D20" i="8"/>
  <c r="V57" i="3"/>
  <c r="V56" i="3"/>
  <c r="I58" i="17" s="1"/>
  <c r="V55" i="3"/>
  <c r="V54" i="3"/>
  <c r="V53" i="3"/>
  <c r="V52" i="3"/>
  <c r="V51" i="3"/>
  <c r="V50" i="3"/>
  <c r="V49" i="3"/>
  <c r="V48" i="3"/>
  <c r="V47" i="3"/>
  <c r="V46" i="3"/>
  <c r="V45" i="3"/>
  <c r="V44" i="3"/>
  <c r="V43" i="3"/>
  <c r="V42" i="3"/>
  <c r="V41" i="3"/>
  <c r="V40" i="3"/>
  <c r="V39" i="3"/>
  <c r="V38" i="3"/>
  <c r="V37" i="3"/>
  <c r="V36" i="3"/>
  <c r="V35" i="3"/>
  <c r="V34" i="3"/>
  <c r="I36" i="17" s="1"/>
  <c r="V33" i="3"/>
  <c r="V32" i="3"/>
  <c r="V31" i="3"/>
  <c r="V30" i="3"/>
  <c r="V29" i="3"/>
  <c r="V28" i="3"/>
  <c r="V27" i="3"/>
  <c r="V26" i="3"/>
  <c r="V25" i="3"/>
  <c r="V24" i="3"/>
  <c r="V23" i="3"/>
  <c r="I25" i="17" s="1"/>
  <c r="V22" i="3"/>
  <c r="I24" i="17" s="1"/>
  <c r="V21" i="3"/>
  <c r="V20" i="3"/>
  <c r="V19" i="3"/>
  <c r="V18" i="3"/>
  <c r="V17" i="3"/>
  <c r="V16" i="3"/>
  <c r="V15" i="3"/>
  <c r="V14" i="3"/>
  <c r="V13" i="3"/>
  <c r="V12" i="3"/>
  <c r="V11" i="3"/>
  <c r="V10" i="3"/>
  <c r="V9" i="3"/>
  <c r="V8" i="3"/>
  <c r="V7" i="3"/>
  <c r="V6" i="3"/>
  <c r="V5" i="3"/>
  <c r="V4" i="3"/>
  <c r="C4" i="69"/>
  <c r="C5" i="69" s="1"/>
  <c r="C24" i="69"/>
  <c r="U58" i="3"/>
  <c r="H9" i="17"/>
  <c r="H13" i="17"/>
  <c r="H17" i="17"/>
  <c r="H21" i="17"/>
  <c r="H24" i="17"/>
  <c r="H28" i="17"/>
  <c r="H30" i="17"/>
  <c r="H31" i="17"/>
  <c r="H42" i="17"/>
  <c r="H51" i="17"/>
  <c r="H52" i="17"/>
  <c r="H54" i="17"/>
  <c r="H57" i="17"/>
  <c r="H58" i="17"/>
  <c r="H6" i="17"/>
  <c r="S79" i="48"/>
  <c r="S89" i="48"/>
  <c r="R89" i="48"/>
  <c r="I60" i="17" l="1"/>
  <c r="K79" i="41"/>
  <c r="K81" i="41"/>
  <c r="K80" i="41"/>
  <c r="K78" i="41"/>
  <c r="N20" i="8"/>
  <c r="N23" i="8" s="1"/>
  <c r="M14" i="8"/>
  <c r="V58" i="3"/>
  <c r="K18" i="7" s="1"/>
  <c r="C21" i="69"/>
  <c r="S90" i="48"/>
  <c r="T89" i="48"/>
  <c r="S57" i="3"/>
  <c r="S34" i="3"/>
  <c r="S31" i="3"/>
  <c r="A55" i="17"/>
  <c r="A56" i="17" s="1"/>
  <c r="A57" i="17" s="1"/>
  <c r="A58" i="17" s="1"/>
  <c r="A59" i="17" s="1"/>
  <c r="G59" i="41"/>
  <c r="F59" i="41"/>
  <c r="E59" i="41"/>
  <c r="D59" i="41"/>
  <c r="H18" i="68"/>
  <c r="H4" i="68"/>
  <c r="H20" i="68" s="1"/>
  <c r="G4" i="68"/>
  <c r="F4" i="68"/>
  <c r="E4" i="68"/>
  <c r="D4" i="68"/>
  <c r="C4" i="68"/>
  <c r="B4" i="68"/>
  <c r="R31" i="3"/>
  <c r="V60" i="3" l="1"/>
  <c r="N22" i="8"/>
  <c r="O5" i="8" s="1"/>
  <c r="H33" i="17"/>
  <c r="H36" i="17"/>
  <c r="I59" i="41"/>
  <c r="K59" i="41" s="1"/>
  <c r="H59" i="17"/>
  <c r="I74" i="41"/>
  <c r="D74" i="41"/>
  <c r="E74" i="41"/>
  <c r="F74" i="41"/>
  <c r="G74" i="41"/>
  <c r="H18" i="42"/>
  <c r="E56" i="17"/>
  <c r="F56" i="17"/>
  <c r="G56" i="17"/>
  <c r="E57" i="17"/>
  <c r="F57" i="17"/>
  <c r="G57" i="17"/>
  <c r="E58" i="17"/>
  <c r="F58" i="17"/>
  <c r="G58" i="17"/>
  <c r="E59" i="17"/>
  <c r="F59" i="17"/>
  <c r="G59" i="17"/>
  <c r="B58" i="17"/>
  <c r="B59" i="17"/>
  <c r="B49" i="17"/>
  <c r="B50" i="17"/>
  <c r="B51" i="17"/>
  <c r="B52" i="17"/>
  <c r="B53" i="17"/>
  <c r="B54" i="17"/>
  <c r="B55" i="17"/>
  <c r="B56" i="17"/>
  <c r="B57" i="17"/>
  <c r="I43" i="41"/>
  <c r="D43" i="41"/>
  <c r="E43" i="41"/>
  <c r="F43" i="41"/>
  <c r="G43" i="41"/>
  <c r="D79" i="41"/>
  <c r="E79" i="41"/>
  <c r="F79" i="41"/>
  <c r="G79" i="41"/>
  <c r="D80" i="41"/>
  <c r="E80" i="41"/>
  <c r="F80" i="41"/>
  <c r="G80" i="41"/>
  <c r="D81" i="41"/>
  <c r="E81" i="41"/>
  <c r="F81" i="41"/>
  <c r="G81" i="41"/>
  <c r="D82" i="41"/>
  <c r="E82" i="41"/>
  <c r="F82" i="41"/>
  <c r="G82" i="41"/>
  <c r="D83" i="41"/>
  <c r="E83" i="41"/>
  <c r="F83" i="41"/>
  <c r="G83" i="41"/>
  <c r="D84" i="41"/>
  <c r="E84" i="41"/>
  <c r="F84" i="41"/>
  <c r="G84" i="41"/>
  <c r="D85" i="41"/>
  <c r="E85" i="41"/>
  <c r="F85" i="41"/>
  <c r="G85" i="41"/>
  <c r="D86" i="41"/>
  <c r="E86" i="41"/>
  <c r="F86" i="41"/>
  <c r="G86" i="41"/>
  <c r="S54" i="3"/>
  <c r="S47" i="3"/>
  <c r="S43" i="3"/>
  <c r="O10" i="8" l="1"/>
  <c r="N24" i="8"/>
  <c r="H45" i="17"/>
  <c r="H49" i="17"/>
  <c r="H56" i="17"/>
  <c r="K74" i="41"/>
  <c r="K43" i="41"/>
  <c r="T58" i="3"/>
  <c r="Q58" i="3"/>
  <c r="Q61" i="3" s="1"/>
  <c r="P58" i="3"/>
  <c r="O58" i="3"/>
  <c r="N58" i="3"/>
  <c r="M58" i="3"/>
  <c r="L58" i="3"/>
  <c r="G56" i="3"/>
  <c r="D58" i="17" s="1"/>
  <c r="G57" i="3"/>
  <c r="D59" i="17" s="1"/>
  <c r="H18" i="67"/>
  <c r="H4" i="67"/>
  <c r="G4" i="67"/>
  <c r="F4" i="67"/>
  <c r="E4" i="67"/>
  <c r="D4" i="67"/>
  <c r="C4" i="67"/>
  <c r="B4" i="67"/>
  <c r="G47" i="3"/>
  <c r="H18" i="66"/>
  <c r="H4" i="66"/>
  <c r="G4" i="66"/>
  <c r="F4" i="66"/>
  <c r="E4" i="66"/>
  <c r="D4" i="66"/>
  <c r="C4" i="66"/>
  <c r="B4" i="66"/>
  <c r="H18" i="65"/>
  <c r="H4" i="65"/>
  <c r="G4" i="65"/>
  <c r="F4" i="65"/>
  <c r="E4" i="65"/>
  <c r="D4" i="65"/>
  <c r="C4" i="65"/>
  <c r="B4" i="65"/>
  <c r="S76" i="48"/>
  <c r="R76" i="48"/>
  <c r="H20" i="67" l="1"/>
  <c r="H20" i="66"/>
  <c r="H20" i="65"/>
  <c r="S77" i="48"/>
  <c r="T76" i="48"/>
  <c r="D72" i="41"/>
  <c r="E72" i="41"/>
  <c r="F72" i="41"/>
  <c r="G72" i="41"/>
  <c r="S21" i="3"/>
  <c r="G78" i="41"/>
  <c r="F78" i="41"/>
  <c r="E78" i="41"/>
  <c r="D78" i="41"/>
  <c r="D55" i="41"/>
  <c r="E55" i="41"/>
  <c r="F55" i="41"/>
  <c r="G55" i="41"/>
  <c r="G54" i="3"/>
  <c r="D56" i="17" s="1"/>
  <c r="H23" i="17" l="1"/>
  <c r="S42" i="3"/>
  <c r="H18" i="64"/>
  <c r="H4" i="64"/>
  <c r="G4" i="64"/>
  <c r="F4" i="64"/>
  <c r="E4" i="64"/>
  <c r="D4" i="64"/>
  <c r="C4" i="64"/>
  <c r="B4" i="64"/>
  <c r="S36" i="3"/>
  <c r="H18" i="63"/>
  <c r="H4" i="63"/>
  <c r="G4" i="63"/>
  <c r="F4" i="63"/>
  <c r="E4" i="63"/>
  <c r="D4" i="63"/>
  <c r="C4" i="63"/>
  <c r="B4" i="63"/>
  <c r="S51" i="3"/>
  <c r="R21" i="3"/>
  <c r="H18" i="46"/>
  <c r="S48" i="3"/>
  <c r="H18" i="62"/>
  <c r="H4" i="62"/>
  <c r="G4" i="62"/>
  <c r="F4" i="62"/>
  <c r="E4" i="62"/>
  <c r="D4" i="62"/>
  <c r="C4" i="62"/>
  <c r="B4" i="62"/>
  <c r="W49" i="3"/>
  <c r="G36" i="3"/>
  <c r="I58" i="41"/>
  <c r="D58" i="41"/>
  <c r="E58" i="41"/>
  <c r="F58" i="41"/>
  <c r="G58" i="41"/>
  <c r="D54" i="41"/>
  <c r="E54" i="41"/>
  <c r="F54" i="41"/>
  <c r="G54" i="41"/>
  <c r="I54" i="41" l="1"/>
  <c r="K54" i="41" s="1"/>
  <c r="H50" i="17"/>
  <c r="H53" i="17"/>
  <c r="H38" i="17"/>
  <c r="H44" i="17"/>
  <c r="I55" i="41"/>
  <c r="K55" i="41" s="1"/>
  <c r="H20" i="64"/>
  <c r="H20" i="63"/>
  <c r="H20" i="62"/>
  <c r="K58" i="41"/>
  <c r="G31" i="3"/>
  <c r="E7" i="17" l="1"/>
  <c r="F7" i="17"/>
  <c r="E8" i="17"/>
  <c r="F8" i="17"/>
  <c r="E9" i="17"/>
  <c r="F9" i="17"/>
  <c r="E10" i="17"/>
  <c r="F10" i="17"/>
  <c r="E11" i="17"/>
  <c r="F11" i="17"/>
  <c r="E12" i="17"/>
  <c r="F12" i="17"/>
  <c r="E13" i="17"/>
  <c r="F13" i="17"/>
  <c r="E14" i="17"/>
  <c r="F14" i="17"/>
  <c r="E15" i="17"/>
  <c r="F15" i="17"/>
  <c r="E16" i="17"/>
  <c r="F16" i="17"/>
  <c r="E17" i="17"/>
  <c r="F17" i="17"/>
  <c r="G17" i="17"/>
  <c r="E18" i="17"/>
  <c r="F18" i="17"/>
  <c r="E19" i="17"/>
  <c r="F19" i="17"/>
  <c r="E20" i="17"/>
  <c r="F20" i="17"/>
  <c r="E21" i="17"/>
  <c r="F21" i="17"/>
  <c r="E22" i="17"/>
  <c r="F22" i="17"/>
  <c r="E23" i="17"/>
  <c r="F23" i="17"/>
  <c r="E24" i="17"/>
  <c r="F24" i="17"/>
  <c r="E25" i="17"/>
  <c r="F25" i="17"/>
  <c r="E26" i="17"/>
  <c r="F26" i="17"/>
  <c r="E27" i="17"/>
  <c r="F27" i="17"/>
  <c r="E28" i="17"/>
  <c r="F28" i="17"/>
  <c r="E29" i="17"/>
  <c r="F29" i="17"/>
  <c r="E30" i="17"/>
  <c r="F30" i="17"/>
  <c r="E31" i="17"/>
  <c r="F31" i="17"/>
  <c r="E32" i="17"/>
  <c r="F32" i="17"/>
  <c r="E33" i="17"/>
  <c r="F33" i="17"/>
  <c r="E34" i="17"/>
  <c r="F34" i="17"/>
  <c r="G34" i="17"/>
  <c r="E35" i="17"/>
  <c r="F35" i="17"/>
  <c r="E36" i="17"/>
  <c r="F36" i="17"/>
  <c r="G36" i="17"/>
  <c r="E37" i="17"/>
  <c r="F37" i="17"/>
  <c r="D38" i="17"/>
  <c r="E38" i="17"/>
  <c r="F38" i="17"/>
  <c r="G38" i="17"/>
  <c r="E39" i="17"/>
  <c r="F39" i="17"/>
  <c r="G39" i="17"/>
  <c r="E40" i="17"/>
  <c r="F40" i="17"/>
  <c r="G40" i="17"/>
  <c r="E41" i="17"/>
  <c r="F41" i="17"/>
  <c r="G41" i="17"/>
  <c r="E42" i="17"/>
  <c r="F42" i="17"/>
  <c r="G42" i="17"/>
  <c r="E43" i="17"/>
  <c r="F43" i="17"/>
  <c r="G43" i="17"/>
  <c r="E44" i="17"/>
  <c r="F44" i="17"/>
  <c r="G44" i="17"/>
  <c r="E45" i="17"/>
  <c r="F45" i="17"/>
  <c r="G45" i="17"/>
  <c r="E46" i="17"/>
  <c r="F46" i="17"/>
  <c r="G46" i="17"/>
  <c r="E47" i="17"/>
  <c r="F47" i="17"/>
  <c r="G47" i="17"/>
  <c r="E48" i="17"/>
  <c r="F48" i="17"/>
  <c r="G48" i="17"/>
  <c r="E49" i="17"/>
  <c r="F49" i="17"/>
  <c r="G49" i="17"/>
  <c r="E50" i="17"/>
  <c r="F50" i="17"/>
  <c r="G50" i="17"/>
  <c r="E51" i="17"/>
  <c r="F51" i="17"/>
  <c r="G51" i="17"/>
  <c r="E52" i="17"/>
  <c r="F52" i="17"/>
  <c r="G52" i="17"/>
  <c r="E53" i="17"/>
  <c r="F53" i="17"/>
  <c r="G53" i="17"/>
  <c r="E54" i="17"/>
  <c r="F54" i="17"/>
  <c r="G54" i="17"/>
  <c r="E55" i="17"/>
  <c r="F55" i="17"/>
  <c r="G55"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6" i="17"/>
  <c r="D57" i="41"/>
  <c r="E57" i="41"/>
  <c r="F57" i="41"/>
  <c r="G57" i="41"/>
  <c r="D48" i="41"/>
  <c r="E48" i="41"/>
  <c r="F48" i="41"/>
  <c r="G48" i="41"/>
  <c r="G55" i="3"/>
  <c r="D55" i="17"/>
  <c r="G42" i="3"/>
  <c r="D44" i="17" s="1"/>
  <c r="H18" i="61"/>
  <c r="H4" i="61"/>
  <c r="G4" i="61"/>
  <c r="F4" i="61"/>
  <c r="E4" i="61"/>
  <c r="D4" i="61"/>
  <c r="C4" i="61"/>
  <c r="B4" i="61"/>
  <c r="I49" i="41"/>
  <c r="D38" i="41"/>
  <c r="E38" i="41"/>
  <c r="F38" i="41"/>
  <c r="G38" i="41"/>
  <c r="S20" i="3"/>
  <c r="R20" i="3"/>
  <c r="G22" i="17" s="1"/>
  <c r="S18" i="3"/>
  <c r="R18" i="3"/>
  <c r="G20" i="17" s="1"/>
  <c r="S17" i="3"/>
  <c r="R17" i="3"/>
  <c r="G19" i="17" s="1"/>
  <c r="S8" i="3"/>
  <c r="S14" i="3"/>
  <c r="R14" i="3"/>
  <c r="G16" i="17" s="1"/>
  <c r="R8" i="3"/>
  <c r="G10" i="17" s="1"/>
  <c r="H16" i="17" l="1"/>
  <c r="H10" i="17"/>
  <c r="I70" i="41"/>
  <c r="K70" i="41" s="1"/>
  <c r="H19" i="17"/>
  <c r="H20" i="17"/>
  <c r="H22" i="17"/>
  <c r="D57" i="17"/>
  <c r="I69" i="41"/>
  <c r="K69" i="41" s="1"/>
  <c r="I68" i="41"/>
  <c r="K68" i="41" s="1"/>
  <c r="H20" i="61"/>
  <c r="K49" i="41"/>
  <c r="D68" i="41" l="1"/>
  <c r="E68" i="41"/>
  <c r="F68" i="41"/>
  <c r="G68" i="41"/>
  <c r="D69" i="41"/>
  <c r="E69" i="41"/>
  <c r="F69" i="41"/>
  <c r="G69" i="41"/>
  <c r="D70" i="41"/>
  <c r="E70" i="41"/>
  <c r="F70" i="41"/>
  <c r="G70" i="41"/>
  <c r="D71" i="41"/>
  <c r="E71" i="41"/>
  <c r="F71" i="41"/>
  <c r="G71" i="41"/>
  <c r="D73" i="41"/>
  <c r="E73" i="41"/>
  <c r="F73" i="41"/>
  <c r="G73" i="41"/>
  <c r="S32" i="3"/>
  <c r="S41" i="3"/>
  <c r="S53" i="3"/>
  <c r="S46" i="3"/>
  <c r="S45" i="3"/>
  <c r="S44" i="3"/>
  <c r="S67" i="48"/>
  <c r="S68" i="48" s="1"/>
  <c r="R67" i="48"/>
  <c r="H18" i="60"/>
  <c r="H4" i="60"/>
  <c r="H20" i="60" s="1"/>
  <c r="G4" i="60"/>
  <c r="F4" i="60"/>
  <c r="E4" i="60"/>
  <c r="D4" i="60"/>
  <c r="C4" i="60"/>
  <c r="B4" i="60"/>
  <c r="I4" i="60" s="1"/>
  <c r="H18" i="59"/>
  <c r="H4" i="59"/>
  <c r="G4" i="59"/>
  <c r="F4" i="59"/>
  <c r="E4" i="59"/>
  <c r="D4" i="59"/>
  <c r="C4" i="59"/>
  <c r="B4" i="59"/>
  <c r="K16" i="34"/>
  <c r="J16" i="34"/>
  <c r="R57" i="48"/>
  <c r="S52" i="48"/>
  <c r="S57" i="48" s="1"/>
  <c r="S35" i="3"/>
  <c r="R35" i="3"/>
  <c r="G37" i="17" s="1"/>
  <c r="H18" i="45"/>
  <c r="S27" i="3"/>
  <c r="R27" i="3"/>
  <c r="G29" i="17" s="1"/>
  <c r="D66" i="41"/>
  <c r="E66" i="41"/>
  <c r="F66" i="41"/>
  <c r="G66" i="41"/>
  <c r="D67" i="41"/>
  <c r="E67" i="41"/>
  <c r="F67" i="41"/>
  <c r="G67" i="41"/>
  <c r="D65" i="41"/>
  <c r="E65" i="41"/>
  <c r="F65" i="41"/>
  <c r="G65" i="41"/>
  <c r="D61" i="41"/>
  <c r="E61" i="41"/>
  <c r="F61" i="41"/>
  <c r="G61" i="41"/>
  <c r="D62" i="41"/>
  <c r="E62" i="41"/>
  <c r="F62" i="41"/>
  <c r="G62" i="41"/>
  <c r="D63" i="41"/>
  <c r="E63" i="41"/>
  <c r="F63" i="41"/>
  <c r="G63" i="41"/>
  <c r="D64" i="41"/>
  <c r="E64" i="41"/>
  <c r="F64" i="41"/>
  <c r="G64" i="41"/>
  <c r="S16" i="3"/>
  <c r="R16" i="3"/>
  <c r="G18" i="17" s="1"/>
  <c r="H18" i="14"/>
  <c r="G48" i="3"/>
  <c r="D49" i="17" s="1"/>
  <c r="G49" i="3"/>
  <c r="G50" i="3"/>
  <c r="G51" i="3"/>
  <c r="G52" i="3"/>
  <c r="H18" i="58"/>
  <c r="H4" i="58"/>
  <c r="G4" i="58"/>
  <c r="F4" i="58"/>
  <c r="E4" i="58"/>
  <c r="D4" i="58"/>
  <c r="C4" i="58"/>
  <c r="B4" i="58"/>
  <c r="D56" i="41"/>
  <c r="E56" i="41"/>
  <c r="F56" i="41"/>
  <c r="G56" i="41"/>
  <c r="I73" i="41" l="1"/>
  <c r="K73" i="41" s="1"/>
  <c r="H37" i="17"/>
  <c r="I48" i="41"/>
  <c r="K48" i="41" s="1"/>
  <c r="H43" i="17"/>
  <c r="H48" i="17"/>
  <c r="H34" i="17"/>
  <c r="H18" i="17"/>
  <c r="I51" i="41"/>
  <c r="K51" i="41" s="1"/>
  <c r="H46" i="17"/>
  <c r="I57" i="41"/>
  <c r="K57" i="41" s="1"/>
  <c r="H55" i="17"/>
  <c r="H29" i="17"/>
  <c r="H47" i="17"/>
  <c r="D50" i="17"/>
  <c r="D53" i="17"/>
  <c r="D54" i="17"/>
  <c r="D52" i="17"/>
  <c r="D51" i="17"/>
  <c r="J75" i="41"/>
  <c r="I66" i="41"/>
  <c r="K66" i="41" s="1"/>
  <c r="I71" i="41"/>
  <c r="K71" i="41" s="1"/>
  <c r="S58" i="48"/>
  <c r="I42" i="41"/>
  <c r="K42" i="41" s="1"/>
  <c r="I53" i="41"/>
  <c r="K53" i="41" s="1"/>
  <c r="I56" i="41"/>
  <c r="K56" i="41" s="1"/>
  <c r="I50" i="41"/>
  <c r="K50" i="41" s="1"/>
  <c r="I67" i="41"/>
  <c r="K67" i="41" s="1"/>
  <c r="I52" i="41"/>
  <c r="K52" i="41" s="1"/>
  <c r="T57" i="48"/>
  <c r="T67" i="48"/>
  <c r="H20" i="59"/>
  <c r="H20" i="58"/>
  <c r="D51" i="41"/>
  <c r="E51" i="41"/>
  <c r="F51" i="41"/>
  <c r="G51" i="41"/>
  <c r="D52" i="41"/>
  <c r="E52" i="41"/>
  <c r="F52" i="41"/>
  <c r="G52" i="41"/>
  <c r="D53" i="41"/>
  <c r="E53" i="41"/>
  <c r="F53" i="41"/>
  <c r="G53" i="41"/>
  <c r="H18" i="57"/>
  <c r="H4" i="57"/>
  <c r="H20" i="57" s="1"/>
  <c r="G4" i="57"/>
  <c r="F4" i="57"/>
  <c r="E4" i="57"/>
  <c r="D4" i="57"/>
  <c r="C4" i="57"/>
  <c r="B4" i="57"/>
  <c r="H18" i="56"/>
  <c r="H4" i="56"/>
  <c r="G4" i="56"/>
  <c r="F4" i="56"/>
  <c r="E4" i="56"/>
  <c r="D4" i="56"/>
  <c r="C4" i="56"/>
  <c r="B4" i="56"/>
  <c r="H18" i="55"/>
  <c r="H4" i="55"/>
  <c r="G4" i="55"/>
  <c r="F4" i="55"/>
  <c r="E4" i="55"/>
  <c r="D4" i="55"/>
  <c r="C4" i="55"/>
  <c r="B4" i="55"/>
  <c r="S37" i="48"/>
  <c r="R37" i="48"/>
  <c r="S30" i="48"/>
  <c r="R30" i="48"/>
  <c r="S47" i="48"/>
  <c r="R47" i="48"/>
  <c r="S48" i="48" l="1"/>
  <c r="S31" i="48"/>
  <c r="S38" i="48"/>
  <c r="T47" i="48"/>
  <c r="H20" i="56"/>
  <c r="H20" i="55"/>
  <c r="S5" i="3"/>
  <c r="H7" i="17" s="1"/>
  <c r="S24" i="3"/>
  <c r="S6" i="3"/>
  <c r="H18" i="10"/>
  <c r="B4" i="52"/>
  <c r="I4" i="52" s="1"/>
  <c r="H15" i="29"/>
  <c r="G44" i="3"/>
  <c r="D46" i="17" s="1"/>
  <c r="G45" i="3"/>
  <c r="D47" i="17" s="1"/>
  <c r="G46" i="3"/>
  <c r="D48" i="17" s="1"/>
  <c r="G43" i="3"/>
  <c r="D45" i="17" s="1"/>
  <c r="G41" i="3"/>
  <c r="D43" i="17" s="1"/>
  <c r="G40" i="3"/>
  <c r="D42" i="17" s="1"/>
  <c r="R24" i="3"/>
  <c r="G26" i="17" s="1"/>
  <c r="H26" i="17" l="1"/>
  <c r="H8" i="17"/>
  <c r="I39" i="41"/>
  <c r="K39" i="41" s="1"/>
  <c r="I35" i="41"/>
  <c r="I61" i="41"/>
  <c r="K61" i="41" s="1"/>
  <c r="J98" i="41"/>
  <c r="K98" i="41" s="1"/>
  <c r="D98" i="41"/>
  <c r="E98" i="41"/>
  <c r="F98" i="41"/>
  <c r="G98" i="41"/>
  <c r="H4" i="33"/>
  <c r="S30" i="3"/>
  <c r="R30" i="3"/>
  <c r="G32" i="17"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D49" i="41"/>
  <c r="E49" i="41"/>
  <c r="F49" i="41"/>
  <c r="G49" i="41"/>
  <c r="D50" i="41"/>
  <c r="E50" i="41"/>
  <c r="F50" i="41"/>
  <c r="G50" i="41"/>
  <c r="D97" i="41"/>
  <c r="E97" i="41"/>
  <c r="F97" i="41"/>
  <c r="G97" i="41"/>
  <c r="J97" i="41"/>
  <c r="K97" i="41" s="1"/>
  <c r="H17" i="20"/>
  <c r="S33" i="3"/>
  <c r="R33" i="3"/>
  <c r="G35" i="17" s="1"/>
  <c r="R29" i="3"/>
  <c r="G31" i="17" s="1"/>
  <c r="R28" i="3"/>
  <c r="G30" i="17" s="1"/>
  <c r="R26" i="3"/>
  <c r="G28" i="17" s="1"/>
  <c r="R25" i="3"/>
  <c r="G27" i="17" s="1"/>
  <c r="S23" i="3"/>
  <c r="R23" i="3"/>
  <c r="G25" i="17" s="1"/>
  <c r="R22" i="3"/>
  <c r="G24" i="17" s="1"/>
  <c r="R19" i="3"/>
  <c r="G21" i="17" s="1"/>
  <c r="S13" i="3"/>
  <c r="R13" i="3"/>
  <c r="G15" i="17" s="1"/>
  <c r="S12" i="3"/>
  <c r="R12" i="3"/>
  <c r="G14" i="17" s="1"/>
  <c r="R11" i="3"/>
  <c r="G13" i="17" s="1"/>
  <c r="R10" i="3"/>
  <c r="G12" i="17" s="1"/>
  <c r="R9" i="3"/>
  <c r="G11" i="17" s="1"/>
  <c r="R7" i="3"/>
  <c r="G9" i="17" s="1"/>
  <c r="R6" i="3"/>
  <c r="G8" i="17" s="1"/>
  <c r="R5" i="3"/>
  <c r="G7" i="17" s="1"/>
  <c r="R4" i="3"/>
  <c r="H18" i="40"/>
  <c r="H18" i="38"/>
  <c r="H18" i="13"/>
  <c r="H18" i="24"/>
  <c r="H35" i="17" l="1"/>
  <c r="H25" i="17"/>
  <c r="H14" i="17"/>
  <c r="H32" i="17"/>
  <c r="I64" i="41"/>
  <c r="K64" i="41" s="1"/>
  <c r="H15" i="17"/>
  <c r="I72" i="41"/>
  <c r="K72" i="41" s="1"/>
  <c r="K35" i="41"/>
  <c r="I41" i="41"/>
  <c r="K41" i="41" s="1"/>
  <c r="I38" i="41"/>
  <c r="K38" i="41" s="1"/>
  <c r="I63" i="41"/>
  <c r="K63" i="41" s="1"/>
  <c r="I65" i="41"/>
  <c r="K65" i="41" s="1"/>
  <c r="I62" i="41"/>
  <c r="K62" i="41" s="1"/>
  <c r="G6" i="17"/>
  <c r="H18" i="53"/>
  <c r="H4" i="53"/>
  <c r="G4" i="53"/>
  <c r="F4" i="53"/>
  <c r="E4" i="53"/>
  <c r="D4" i="53"/>
  <c r="C4" i="53"/>
  <c r="B4" i="53"/>
  <c r="D39" i="41"/>
  <c r="E39" i="41"/>
  <c r="F39" i="41"/>
  <c r="G39" i="41"/>
  <c r="W11" i="3"/>
  <c r="W58" i="3" s="1"/>
  <c r="I117" i="41"/>
  <c r="H96" i="41"/>
  <c r="G96" i="41"/>
  <c r="F96" i="41"/>
  <c r="E96" i="41"/>
  <c r="D96" i="41"/>
  <c r="J96" i="41" l="1"/>
  <c r="J117" i="41" s="1"/>
  <c r="H20" i="53"/>
  <c r="H20" i="20"/>
  <c r="I17" i="41"/>
  <c r="I20" i="41"/>
  <c r="I21" i="41"/>
  <c r="I23" i="41"/>
  <c r="I24" i="41"/>
  <c r="I26" i="41"/>
  <c r="I27" i="41"/>
  <c r="I30" i="41"/>
  <c r="I4" i="41"/>
  <c r="I5" i="41"/>
  <c r="I6" i="41"/>
  <c r="I8" i="41"/>
  <c r="I9" i="41"/>
  <c r="I10" i="41"/>
  <c r="I11" i="41"/>
  <c r="I12" i="41"/>
  <c r="I13" i="41"/>
  <c r="I3" i="41"/>
  <c r="K96" i="41" l="1"/>
  <c r="K117" i="41" s="1"/>
  <c r="L117" i="41" s="1"/>
  <c r="D41" i="41" l="1"/>
  <c r="E41" i="41"/>
  <c r="F41" i="41"/>
  <c r="G41" i="41"/>
  <c r="D37" i="41"/>
  <c r="E37" i="41"/>
  <c r="F37" i="41"/>
  <c r="G37" i="41"/>
  <c r="D44" i="41"/>
  <c r="E44" i="41"/>
  <c r="F44" i="41"/>
  <c r="G44" i="41"/>
  <c r="D45" i="41"/>
  <c r="E45" i="41"/>
  <c r="F45" i="41"/>
  <c r="G45" i="41"/>
  <c r="D46" i="41"/>
  <c r="E46" i="41"/>
  <c r="F46" i="41"/>
  <c r="G46" i="41"/>
  <c r="D40" i="41"/>
  <c r="E40" i="41"/>
  <c r="F40" i="41"/>
  <c r="G40" i="41"/>
  <c r="D42" i="41"/>
  <c r="E42" i="41"/>
  <c r="F42" i="41"/>
  <c r="G42" i="41"/>
  <c r="D47" i="41"/>
  <c r="E47" i="41"/>
  <c r="F47" i="41"/>
  <c r="G47" i="41"/>
  <c r="D35" i="41"/>
  <c r="E35" i="41"/>
  <c r="F35" i="41"/>
  <c r="G35" i="41"/>
  <c r="D36" i="41"/>
  <c r="S25" i="3"/>
  <c r="I40" i="41" l="1"/>
  <c r="K40" i="41" s="1"/>
  <c r="H27" i="17"/>
  <c r="S9" i="3"/>
  <c r="S38" i="3"/>
  <c r="S37" i="3"/>
  <c r="S39" i="3"/>
  <c r="H18" i="52"/>
  <c r="H4" i="52"/>
  <c r="H20" i="52" s="1"/>
  <c r="G4" i="52"/>
  <c r="F4" i="52"/>
  <c r="E4" i="52"/>
  <c r="D4" i="52"/>
  <c r="C4" i="52"/>
  <c r="H18" i="51"/>
  <c r="H4" i="51"/>
  <c r="H20" i="51" s="1"/>
  <c r="G4" i="51"/>
  <c r="F4" i="51"/>
  <c r="E4" i="51"/>
  <c r="D4" i="51"/>
  <c r="C4" i="51"/>
  <c r="B4" i="51"/>
  <c r="I4" i="51" s="1"/>
  <c r="H78" i="41"/>
  <c r="K6" i="7"/>
  <c r="K7" i="7"/>
  <c r="K8" i="7"/>
  <c r="K9" i="7"/>
  <c r="K10" i="7"/>
  <c r="K11" i="7"/>
  <c r="K12" i="7"/>
  <c r="K13" i="7"/>
  <c r="K5" i="7"/>
  <c r="H41" i="17" l="1"/>
  <c r="H39" i="17"/>
  <c r="H40" i="17"/>
  <c r="H11" i="17"/>
  <c r="I47" i="41"/>
  <c r="K47" i="41" s="1"/>
  <c r="I46" i="41"/>
  <c r="K46" i="41" s="1"/>
  <c r="I45" i="41"/>
  <c r="K45" i="41" s="1"/>
  <c r="I44" i="41"/>
  <c r="K44" i="41" s="1"/>
  <c r="I36" i="41"/>
  <c r="J14" i="7"/>
  <c r="G5" i="7"/>
  <c r="G6" i="7"/>
  <c r="G14" i="7" s="1"/>
  <c r="G7" i="7"/>
  <c r="G8" i="7"/>
  <c r="G9" i="7"/>
  <c r="G10" i="7"/>
  <c r="G11" i="7"/>
  <c r="G12" i="7"/>
  <c r="G13" i="7"/>
  <c r="F14" i="7"/>
  <c r="H18" i="50"/>
  <c r="H4" i="50"/>
  <c r="H20" i="50" s="1"/>
  <c r="G4" i="50"/>
  <c r="F4" i="50"/>
  <c r="E4" i="50"/>
  <c r="D4" i="50"/>
  <c r="C4" i="50"/>
  <c r="B4" i="50"/>
  <c r="I4" i="50" s="1"/>
  <c r="G37" i="3"/>
  <c r="D39" i="17" s="1"/>
  <c r="G38" i="3"/>
  <c r="D40" i="17" s="1"/>
  <c r="G39" i="3"/>
  <c r="D41" i="17" s="1"/>
  <c r="S10" i="3"/>
  <c r="I37" i="41" l="1"/>
  <c r="K37" i="41" s="1"/>
  <c r="H12" i="17"/>
  <c r="H60" i="17" s="1"/>
  <c r="S60" i="3" s="1"/>
  <c r="S58" i="3"/>
  <c r="G18" i="7" s="1"/>
  <c r="K36" i="41"/>
  <c r="K14" i="7"/>
  <c r="K17" i="7" s="1"/>
  <c r="K19" i="7" s="1"/>
  <c r="H35" i="41"/>
  <c r="G17" i="7"/>
  <c r="C4" i="48"/>
  <c r="C5" i="48" s="1"/>
  <c r="K75" i="41" l="1"/>
  <c r="I75" i="41"/>
  <c r="H18" i="44"/>
  <c r="H13" i="44"/>
  <c r="E36" i="41" l="1"/>
  <c r="F36"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6" i="41"/>
  <c r="I93" i="41"/>
  <c r="K93" i="41" l="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J93" i="41" l="1"/>
  <c r="K9" i="4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G35" i="3"/>
  <c r="D37" i="17" s="1"/>
  <c r="H4" i="42"/>
  <c r="G4" i="42"/>
  <c r="F4" i="42"/>
  <c r="E4" i="42"/>
  <c r="D4" i="42"/>
  <c r="C4" i="42"/>
  <c r="B4" i="42"/>
  <c r="I4" i="42" s="1"/>
  <c r="H20" i="42" s="1"/>
  <c r="G33" i="17" l="1"/>
  <c r="R58" i="3"/>
  <c r="C18" i="7" s="1"/>
  <c r="I29" i="41"/>
  <c r="K29" i="41" s="1"/>
  <c r="G23" i="17"/>
  <c r="I19" i="41"/>
  <c r="K19" i="41" s="1"/>
  <c r="I31" i="41"/>
  <c r="K31" i="41" s="1"/>
  <c r="K26" i="41"/>
  <c r="G15" i="3"/>
  <c r="D17" i="17" s="1"/>
  <c r="H11" i="29"/>
  <c r="H18" i="39"/>
  <c r="H18" i="33"/>
  <c r="H18" i="37"/>
  <c r="H18" i="26"/>
  <c r="H18" i="30"/>
  <c r="H18" i="27"/>
  <c r="H18" i="22"/>
  <c r="H18" i="19"/>
  <c r="H18" i="31"/>
  <c r="H18" i="16"/>
  <c r="H18" i="21"/>
  <c r="H18" i="36"/>
  <c r="H18" i="32"/>
  <c r="H18" i="35"/>
  <c r="H18" i="15"/>
  <c r="H18" i="12"/>
  <c r="G29" i="3"/>
  <c r="D31" i="17" s="1"/>
  <c r="G30" i="3"/>
  <c r="D32" i="17" s="1"/>
  <c r="D33" i="17"/>
  <c r="G32" i="3"/>
  <c r="D34" i="17" s="1"/>
  <c r="G33" i="3"/>
  <c r="D35" i="17" s="1"/>
  <c r="G34" i="3"/>
  <c r="D36" i="17" s="1"/>
  <c r="H4" i="40"/>
  <c r="G4" i="40"/>
  <c r="F4" i="40"/>
  <c r="E4" i="40"/>
  <c r="D4" i="40"/>
  <c r="C4" i="40"/>
  <c r="B4" i="40"/>
  <c r="I4" i="40" s="1"/>
  <c r="H20" i="40" s="1"/>
  <c r="H4" i="39"/>
  <c r="H20" i="39" s="1"/>
  <c r="G4" i="39"/>
  <c r="F4" i="39"/>
  <c r="E4" i="39"/>
  <c r="D4" i="39"/>
  <c r="C4" i="39"/>
  <c r="B4" i="39"/>
  <c r="G60" i="17" l="1"/>
  <c r="R60" i="3" s="1"/>
  <c r="I18" i="41"/>
  <c r="K18" i="41" s="1"/>
  <c r="I16" i="41"/>
  <c r="K16" i="41" s="1"/>
  <c r="I15" i="41"/>
  <c r="K15" i="41" s="1"/>
  <c r="I25" i="41"/>
  <c r="K25" i="41" s="1"/>
  <c r="I14" i="41"/>
  <c r="K14" i="41" s="1"/>
  <c r="I22" i="41"/>
  <c r="K22" i="41" s="1"/>
  <c r="I28" i="41"/>
  <c r="K28" i="41" s="1"/>
  <c r="K12" i="41"/>
  <c r="K21" i="41"/>
  <c r="K5" i="41"/>
  <c r="K6" i="41"/>
  <c r="K27" i="41"/>
  <c r="K4" i="41"/>
  <c r="K23" i="41"/>
  <c r="K17" i="41"/>
  <c r="K30" i="41"/>
  <c r="K10" i="41"/>
  <c r="K24" i="41"/>
  <c r="K13" i="41"/>
  <c r="K11" i="41"/>
  <c r="K20" i="41"/>
  <c r="I7" i="41" l="1"/>
  <c r="K7" i="41" s="1"/>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D24" i="8" l="1"/>
  <c r="E10" i="8"/>
  <c r="E5" i="8"/>
  <c r="H4" i="37"/>
  <c r="H20" i="37" s="1"/>
  <c r="G4" i="37"/>
  <c r="F4" i="37"/>
  <c r="E4" i="37"/>
  <c r="D4" i="37"/>
  <c r="C4" i="37"/>
  <c r="B4" i="37"/>
  <c r="C6" i="8"/>
  <c r="C7" i="8"/>
  <c r="C8" i="8"/>
  <c r="C9" i="8"/>
  <c r="C10" i="8"/>
  <c r="C11" i="8"/>
  <c r="C12" i="8"/>
  <c r="C13" i="8"/>
  <c r="C5" i="8"/>
  <c r="H4" i="34"/>
  <c r="G4" i="34"/>
  <c r="F4" i="34"/>
  <c r="E4" i="34"/>
  <c r="D4" i="34"/>
  <c r="C4" i="34"/>
  <c r="B4" i="34"/>
  <c r="I4" i="34" s="1"/>
  <c r="H10" i="34"/>
  <c r="H4" i="36"/>
  <c r="G4" i="36"/>
  <c r="F4" i="36"/>
  <c r="E4" i="36"/>
  <c r="D4" i="36"/>
  <c r="C4" i="36"/>
  <c r="B4" i="36"/>
  <c r="I4" i="36" s="1"/>
  <c r="H20" i="36" s="1"/>
  <c r="H4" i="35"/>
  <c r="H20" i="35" s="1"/>
  <c r="G4" i="35"/>
  <c r="F4" i="35"/>
  <c r="E4" i="35"/>
  <c r="D4" i="35"/>
  <c r="C4" i="35"/>
  <c r="B4" i="35"/>
  <c r="H9" i="34"/>
  <c r="H20" i="33"/>
  <c r="G4" i="33"/>
  <c r="F4" i="33"/>
  <c r="E4" i="33"/>
  <c r="D4" i="33"/>
  <c r="C4" i="33"/>
  <c r="B4"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4" i="16"/>
  <c r="H20" i="16" s="1"/>
  <c r="H4" i="19"/>
  <c r="H20" i="19" s="1"/>
  <c r="H4" i="20"/>
  <c r="H22" i="20" s="1"/>
  <c r="H4" i="21"/>
  <c r="H4" i="22"/>
  <c r="H20" i="22" s="1"/>
  <c r="H4" i="24"/>
  <c r="H4" i="26"/>
  <c r="H4" i="27"/>
  <c r="H20" i="27" s="1"/>
  <c r="H4" i="29"/>
  <c r="H20" i="29" s="1"/>
  <c r="G4" i="29" l="1"/>
  <c r="F4" i="29"/>
  <c r="E4" i="29"/>
  <c r="D4" i="29"/>
  <c r="C4" i="29"/>
  <c r="B4" i="29"/>
  <c r="G4" i="27"/>
  <c r="F4" i="27"/>
  <c r="E4" i="27"/>
  <c r="D4" i="27"/>
  <c r="C4" i="27"/>
  <c r="B4" i="27"/>
  <c r="G4" i="26"/>
  <c r="F4" i="26"/>
  <c r="E4" i="26"/>
  <c r="D4" i="26"/>
  <c r="C4" i="26"/>
  <c r="B4" i="26"/>
  <c r="I4" i="26" s="1"/>
  <c r="H20" i="26" s="1"/>
  <c r="B14" i="7"/>
  <c r="G4" i="24"/>
  <c r="F4" i="24"/>
  <c r="E4" i="24"/>
  <c r="D4" i="24"/>
  <c r="C4" i="24"/>
  <c r="B4" i="24"/>
  <c r="I4" i="24" s="1"/>
  <c r="H20" i="24" s="1"/>
  <c r="G4" i="22"/>
  <c r="F4" i="22"/>
  <c r="E4" i="22"/>
  <c r="D4" i="22"/>
  <c r="C4" i="22"/>
  <c r="B4" i="22"/>
  <c r="G4" i="21"/>
  <c r="F4" i="21"/>
  <c r="E4" i="21"/>
  <c r="D4" i="21"/>
  <c r="C4" i="21"/>
  <c r="B4" i="21"/>
  <c r="I4" i="21" s="1"/>
  <c r="H20" i="21" s="1"/>
  <c r="G4" i="20"/>
  <c r="F4" i="20"/>
  <c r="E4" i="20"/>
  <c r="D4" i="20"/>
  <c r="C4" i="20"/>
  <c r="B4" i="20"/>
  <c r="G4" i="19"/>
  <c r="F4" i="19"/>
  <c r="E4" i="19"/>
  <c r="D4" i="19"/>
  <c r="C4" i="19"/>
  <c r="B4" i="19"/>
  <c r="G4" i="16"/>
  <c r="F4" i="16"/>
  <c r="E4" i="16"/>
  <c r="D4" i="16"/>
  <c r="C4" i="16"/>
  <c r="B4" i="16"/>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F6" i="17"/>
  <c r="F60" i="17" s="1"/>
  <c r="E6" i="17"/>
  <c r="G4" i="3"/>
  <c r="H9" i="20"/>
  <c r="K11" i="20"/>
  <c r="K10" i="20"/>
  <c r="J11" i="20"/>
  <c r="H11" i="20" s="1"/>
  <c r="J10" i="20"/>
  <c r="H10" i="20" s="1"/>
  <c r="N11" i="8" l="1"/>
  <c r="P11" i="8" s="1"/>
  <c r="I7" i="8"/>
  <c r="N12" i="8"/>
  <c r="P12" i="8" s="1"/>
  <c r="I8" i="8"/>
  <c r="K8" i="8" s="1"/>
  <c r="E9" i="18" s="1"/>
  <c r="N13" i="8"/>
  <c r="P13" i="8" s="1"/>
  <c r="I9" i="8"/>
  <c r="K9" i="8" s="1"/>
  <c r="E10" i="18" s="1"/>
  <c r="N8" i="8"/>
  <c r="P8" i="8" s="1"/>
  <c r="N9" i="8"/>
  <c r="P9" i="8" s="1"/>
  <c r="N5" i="8"/>
  <c r="P5" i="8" s="1"/>
  <c r="F6" i="18" s="1"/>
  <c r="I10" i="8"/>
  <c r="I13" i="8"/>
  <c r="K13" i="8" s="1"/>
  <c r="E14" i="18" s="1"/>
  <c r="N6" i="8"/>
  <c r="P6" i="8" s="1"/>
  <c r="I5" i="8"/>
  <c r="I11" i="8"/>
  <c r="K11" i="8" s="1"/>
  <c r="E12" i="18" s="1"/>
  <c r="I6" i="8"/>
  <c r="N7" i="8"/>
  <c r="P7" i="8" s="1"/>
  <c r="I12" i="8"/>
  <c r="K12" i="8" s="1"/>
  <c r="E13" i="18" s="1"/>
  <c r="D5" i="8"/>
  <c r="F5" i="8" s="1"/>
  <c r="G5" i="8" s="1"/>
  <c r="N10" i="8"/>
  <c r="F4" i="48"/>
  <c r="C24" i="48" s="1"/>
  <c r="C17" i="48"/>
  <c r="C16" i="48"/>
  <c r="C15" i="48"/>
  <c r="C14" i="48"/>
  <c r="C13" i="48"/>
  <c r="C12" i="48"/>
  <c r="C11" i="48"/>
  <c r="C10" i="48"/>
  <c r="K8" i="41"/>
  <c r="H12" i="20"/>
  <c r="C9" i="48"/>
  <c r="D11" i="8"/>
  <c r="D9" i="8"/>
  <c r="D6" i="8"/>
  <c r="D7" i="8"/>
  <c r="D8" i="8"/>
  <c r="D10" i="8"/>
  <c r="D12" i="8"/>
  <c r="C20" i="11"/>
  <c r="C19" i="11"/>
  <c r="C18" i="11"/>
  <c r="C10" i="11"/>
  <c r="C17" i="11"/>
  <c r="C9" i="11"/>
  <c r="C16" i="11"/>
  <c r="C15" i="11"/>
  <c r="C14" i="11"/>
  <c r="C13" i="11"/>
  <c r="C12" i="11"/>
  <c r="C11" i="11"/>
  <c r="H12" i="8"/>
  <c r="D6" i="17"/>
  <c r="B14" i="18"/>
  <c r="B13" i="18"/>
  <c r="B12" i="18"/>
  <c r="B11" i="18"/>
  <c r="B10" i="18"/>
  <c r="B9" i="18"/>
  <c r="B8" i="18"/>
  <c r="B7" i="18"/>
  <c r="B6" i="18"/>
  <c r="Q9" i="8" l="1"/>
  <c r="F10" i="18"/>
  <c r="Q7" i="8"/>
  <c r="F8" i="18"/>
  <c r="Q8" i="8"/>
  <c r="F9" i="18"/>
  <c r="Q13" i="8"/>
  <c r="F14" i="18"/>
  <c r="Q6" i="8"/>
  <c r="F7" i="18"/>
  <c r="Q12" i="8"/>
  <c r="F13" i="18"/>
  <c r="Q11" i="8"/>
  <c r="F12" i="18"/>
  <c r="N14" i="8"/>
  <c r="P10" i="8"/>
  <c r="Q5" i="8"/>
  <c r="C21" i="48"/>
  <c r="S59" i="3" s="1"/>
  <c r="C21" i="11"/>
  <c r="R59" i="3" s="1"/>
  <c r="H7" i="8"/>
  <c r="H13" i="8"/>
  <c r="L13" i="8" s="1"/>
  <c r="H8" i="8"/>
  <c r="L8" i="8" s="1"/>
  <c r="H11" i="8"/>
  <c r="H5" i="8"/>
  <c r="H10" i="8"/>
  <c r="H6" i="8"/>
  <c r="H9" i="8"/>
  <c r="L11" i="8"/>
  <c r="L12" i="8"/>
  <c r="L9" i="8"/>
  <c r="H10" i="13"/>
  <c r="H10" i="12"/>
  <c r="H11" i="12" s="1"/>
  <c r="H20" i="12" s="1"/>
  <c r="B6" i="8"/>
  <c r="B7" i="8"/>
  <c r="B8" i="8"/>
  <c r="B9" i="8"/>
  <c r="B10" i="8"/>
  <c r="B11" i="8"/>
  <c r="B12" i="8"/>
  <c r="B13" i="8"/>
  <c r="B5" i="8"/>
  <c r="Q10" i="8" l="1"/>
  <c r="Q14" i="8" s="1"/>
  <c r="F11" i="18"/>
  <c r="F15" i="18" s="1"/>
  <c r="P14" i="8"/>
  <c r="K7" i="8"/>
  <c r="G19" i="7"/>
  <c r="D13" i="8"/>
  <c r="I32" i="41"/>
  <c r="I33" i="41" s="1"/>
  <c r="H14" i="8"/>
  <c r="E8" i="18" l="1"/>
  <c r="L7" i="8"/>
  <c r="C14" i="8"/>
  <c r="C14" i="7"/>
  <c r="C17" i="7" l="1"/>
  <c r="C4" i="11"/>
  <c r="C15" i="18"/>
  <c r="K26" i="7" s="1"/>
  <c r="C5" i="11" l="1"/>
  <c r="D21" i="11" l="1"/>
  <c r="C24" i="11"/>
  <c r="D41" i="1"/>
  <c r="D24" i="11" l="1"/>
  <c r="C23" i="48"/>
  <c r="C26" i="48" s="1"/>
  <c r="C23" i="69" s="1"/>
  <c r="C26" i="69" s="1"/>
  <c r="J32" i="41"/>
  <c r="F12" i="8"/>
  <c r="F7" i="8"/>
  <c r="F11" i="8"/>
  <c r="G11" i="8" s="1"/>
  <c r="F8" i="8"/>
  <c r="F13" i="8"/>
  <c r="D8" i="18" l="1"/>
  <c r="G8" i="18" s="1"/>
  <c r="G7" i="8"/>
  <c r="D13" i="18"/>
  <c r="G13" i="18" s="1"/>
  <c r="G12" i="8"/>
  <c r="G8" i="8"/>
  <c r="D9" i="18"/>
  <c r="G9" i="18" s="1"/>
  <c r="D14" i="18"/>
  <c r="G14" i="18" s="1"/>
  <c r="G13" i="8"/>
  <c r="K3" i="41"/>
  <c r="K32" i="41" s="1"/>
  <c r="L32" i="41" s="1"/>
  <c r="L73" i="41" s="1"/>
  <c r="F9" i="8"/>
  <c r="D12" i="18"/>
  <c r="G12" i="18" s="1"/>
  <c r="L75" i="41" l="1"/>
  <c r="L87" i="41" s="1"/>
  <c r="L93" i="41" s="1"/>
  <c r="G9" i="8"/>
  <c r="D10" i="18"/>
  <c r="G10" i="18" s="1"/>
  <c r="F10" i="8" l="1"/>
  <c r="I23" i="8" l="1"/>
  <c r="I22" i="8"/>
  <c r="J5" i="8" s="1"/>
  <c r="D6" i="18"/>
  <c r="D11" i="18"/>
  <c r="G10" i="8"/>
  <c r="J10" i="8" l="1"/>
  <c r="K10" i="8" s="1"/>
  <c r="K5" i="8"/>
  <c r="I24" i="8"/>
  <c r="F6" i="8"/>
  <c r="C19" i="7" l="1"/>
  <c r="I14" i="8"/>
  <c r="E6" i="18"/>
  <c r="G6" i="18" s="1"/>
  <c r="L5" i="8"/>
  <c r="E11" i="18"/>
  <c r="G11" i="18" s="1"/>
  <c r="L10" i="8"/>
  <c r="D14" i="8"/>
  <c r="G6" i="8"/>
  <c r="G14" i="8" s="1"/>
  <c r="F14" i="8"/>
  <c r="D7" i="18"/>
  <c r="K6" i="8" l="1"/>
  <c r="E7" i="18" s="1"/>
  <c r="E15" i="18" s="1"/>
  <c r="D15" i="18"/>
  <c r="G7" i="18" l="1"/>
  <c r="G15" i="18" s="1"/>
  <c r="L6" i="8"/>
  <c r="L14" i="8" s="1"/>
  <c r="K14"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tc={9454546E-8AD3-4052-959B-6F9F51BEA209}</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7"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64" authorId="8" shapeId="0" xr:uid="{9454546E-8AD3-4052-959B-6F9F51BEA209}">
      <text>
        <t>[Threaded comment]
Your version of Excel allows you to read this threaded comment; however, any edits to it will get removed if the file is opened in a newer version of Excel. Learn more: https://go.microsoft.com/fwlink/?linkid=870924
Comment:
    wait for HVAC project completion (both phases), FY26? (includes small stairwell section in Frist)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<sst xmlns="http://schemas.openxmlformats.org/spreadsheetml/2006/main" count="1721" uniqueCount="465">
  <si>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</si>
  <si>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</si>
  <si>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</si>
  <si>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</si>
  <si>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</si>
  <si>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</si>
  <si>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</si>
  <si>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</si>
  <si>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</si>
  <si>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</si>
  <si>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</si>
  <si>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</si>
  <si>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</si>
  <si>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</si>
  <si>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</si>
  <si>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</si>
  <si>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</si>
  <si>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</si>
  <si>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</si>
  <si>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</si>
  <si>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</si>
  <si>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</si>
  <si>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</si>
  <si>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</si>
  <si>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</si>
  <si>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</si>
  <si>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</si>
  <si>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</si>
  <si>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</si>
  <si>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</si>
  <si>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</si>
  <si>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</si>
  <si>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</si>
  <si>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</si>
  <si>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</si>
  <si>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</si>
  <si>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</si>
  <si>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</si>
  <si>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</si>
  <si>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</si>
  <si>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</si>
  <si>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</si>
  <si>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</si>
  <si>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</si>
  <si>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</si>
  <si>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</si>
  <si>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</si>
  <si>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</si>
  <si>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</si>
  <si>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</si>
  <si>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</si>
  <si>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</si>
  <si>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</si>
  <si>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</si>
  <si>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</si>
  <si>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</si>
  <si>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</si>
  <si>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</si>
  <si>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</si>
  <si>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</si>
  <si>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</si>
  <si>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</si>
  <si>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</si>
  <si>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</si>
  <si>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</si>
  <si>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</si>
  <si>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</si>
  <si>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</si>
  <si>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</si>
  <si>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</si>
  <si>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</si>
  <si>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</si>
  <si>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</si>
  <si>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</si>
  <si>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</si>
  <si>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</si>
  <si>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</si>
  <si>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</si>
  <si>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</si>
  <si>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</si>
  <si>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</si>
  <si>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</si>
  <si>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</si>
  <si>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</si>
  <si>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</si>
  <si>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</si>
  <si>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</si>
  <si>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</si>
  <si>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</si>
  <si>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</si>
  <si>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</si>
  <si>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</si>
  <si>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</si>
  <si>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</si>
  <si>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</si>
  <si>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</si>
  <si>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</si>
  <si>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</si>
  <si>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</si>
  <si>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</si>
  <si>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</si>
  <si>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</si>
  <si>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</si>
  <si>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</si>
  <si>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</si>
  <si>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</si>
  <si>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</si>
  <si>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</si>
  <si>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</si>
  <si>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</si>
  <si>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</si>
  <si>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</si>
  <si>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</si>
  <si>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</si>
  <si>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</si>
  <si>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</si>
  <si>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</si>
  <si>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</si>
  <si>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</si>
  <si>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</si>
  <si>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</si>
  <si>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</si>
  <si>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</si>
  <si>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</si>
  <si>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</si>
  <si>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</si>
  <si>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</si>
  <si>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</si>
  <si>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</si>
  <si>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</si>
  <si>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</si>
  <si>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</si>
  <si>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</si>
  <si>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</si>
  <si>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</si>
  <si>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</si>
  <si>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</si>
  <si>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</si>
  <si>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</si>
  <si>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</si>
  <si>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</si>
  <si>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</si>
  <si>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</si>
  <si>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</si>
  <si>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</si>
  <si>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</si>
  <si>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</si>
  <si>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</si>
  <si>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</si>
  <si>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</si>
  <si>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</si>
  <si>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</si>
  <si>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</si>
  <si>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</si>
  <si>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</si>
  <si>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</si>
  <si>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</si>
  <si>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</si>
  <si>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</si>
  <si>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</si>
  <si>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</si>
  <si>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</si>
  <si>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</si>
  <si>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</si>
  <si>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</si>
  <si>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</si>
  <si>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</si>
  <si>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</si>
  <si>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</si>
  <si>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</si>
  <si>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</si>
  <si>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</si>
  <si>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</si>
  <si>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</si>
  <si>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</si>
  <si>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</si>
  <si>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</si>
  <si>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</si>
  <si>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</si>
  <si>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</si>
  <si>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</si>
  <si>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</si>
  <si>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</si>
  <si>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</si>
  <si>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</si>
  <si>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</si>
  <si>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</si>
  <si>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</si>
  <si>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</si>
  <si>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</si>
  <si>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</si>
  <si>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</si>
  <si>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</si>
  <si>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</si>
  <si>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</si>
  <si>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</si>
  <si>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</si>
  <si>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</si>
  <si>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</si>
  <si>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</si>
  <si>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</si>
  <si>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</si>
  <si>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</si>
  <si>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</si>
  <si>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</si>
  <si>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</si>
  <si>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</si>
  <si>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</si>
  <si>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</si>
  <si>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</si>
  <si>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</si>
  <si>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</si>
  <si>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</si>
  <si>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</si>
  <si>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</si>
  <si>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</si>
  <si>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</si>
  <si>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</si>
  <si>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</si>
  <si>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</si>
  <si>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</si>
  <si>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</si>
  <si>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</si>
  <si>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</si>
  <si>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</si>
  <si>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</si>
  <si>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</si>
  <si>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</si>
  <si>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</si>
  <si>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</si>
  <si>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</si>
  <si>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</si>
  <si>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</si>
  <si>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</si>
  <si>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</si>
  <si>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</si>
  <si>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</si>
  <si>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</si>
  <si>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</si>
  <si>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</si>
  <si>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</si>
  <si>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</si>
  <si>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</si>
  <si>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</si>
  <si>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</si>
  <si>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</si>
  <si>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</si>
  <si>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</si>
  <si>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</si>
  <si>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</si>
  <si>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</si>
  <si>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</si>
  <si>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</si>
  <si>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</si>
  <si>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</si>
  <si>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</si>
  <si>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</si>
  <si>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</si>
  <si>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</si>
  <si>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</si>
  <si>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</si>
  <si>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</si>
  <si>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</si>
  <si>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</si>
  <si>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</si>
  <si>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</si>
  <si>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</si>
  <si>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</si>
  <si>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</si>
  <si>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</si>
  <si>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</si>
  <si>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</si>
  <si>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</si>
  <si>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</si>
  <si>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</si>
  <si>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</si>
  <si>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</si>
  <si>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</si>
  <si>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</si>
  <si>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</si>
  <si>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</si>
  <si>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</si>
  <si>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</si>
  <si>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</si>
  <si>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</si>
  <si>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</si>
  <si>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</si>
  <si>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</si>
  <si>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</si>
  <si>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</si>
  <si>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</si>
  <si>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</si>
  <si>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</si>
  <si>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</si>
  <si>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</si>
  <si>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</si>
  <si>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</si>
  <si>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</si>
  <si>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</si>
  <si>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</si>
  <si>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</si>
  <si>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</si>
  <si>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</si>
  <si>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</si>
  <si>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</si>
  <si>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</si>
  <si>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</si>
  <si>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</si>
  <si>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</si>
  <si>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</si>
  <si>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</si>
  <si>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SC5 -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</si>
  <si>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</si>
  <si>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</si>
  <si>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</si>
  <si>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</si>
  <si>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</si>
  <si>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</si>
  <si>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</si>
  <si>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</si>
  <si>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</si>
  <si>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</si>
  <si>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</si>
  <si>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</si>
  <si>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</si>
  <si>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</si>
  <si>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</si>
  <si>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</si>
  <si>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</si>
  <si>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</si>
  <si>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</si>
  <si>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</si>
  <si>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</si>
  <si>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</si>
  <si>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</si>
  <si>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</si>
  <si>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</si>
  <si>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</si>
  <si>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</si>
  <si>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</si>
  <si>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</si>
  <si>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</si>
  <si>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</si>
  <si>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</si>
  <si>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</si>
  <si>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</si>
  <si>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2</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</si>
  <si>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</si>
  <si>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</si>
  <si>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</si>
  <si>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</si>
  <si>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</si>
  <si>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</si>
  <si>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</si>
  <si>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</si>
  <si>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</si>
  <si>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</si>
  <si>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</si>
  <si>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</si>
  <si>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</si>
  <si>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</si>
  <si>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</si>
  <si>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</si>
  <si>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</si>
  <si>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</si>
  <si>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</si>
  <si>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</si>
  <si>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</si>
  <si>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</si>
  <si>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</si>
  <si>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</si>
  <si>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</si>
  <si>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</si>
  <si>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</si>
  <si>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</si>
  <si>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</si>
  <si>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NEELY AUDITORIUM</t>
  </si>
  <si>
    <t>Frist Hall - Stairwell Roof Replacement</t>
  </si>
  <si>
    <t>Programming or Planning</t>
  </si>
  <si>
    <t>Blair School of Music - AHU 2/3 Replacement  - Phase 2 - FY26</t>
  </si>
  <si>
    <t>Neely Auditorium - MEP Feasibility Study</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</si>
  <si>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</si>
  <si>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</si>
  <si>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</si>
  <si>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</si>
  <si>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</si>
  <si>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</si>
  <si>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</si>
  <si>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</si>
  <si>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</si>
  <si>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</si>
  <si>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</si>
  <si>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</si>
  <si>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</si>
  <si>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</si>
  <si>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</si>
  <si>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</si>
  <si>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AHU - 1 Replacement -Phase 1 - FY25</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</si>
  <si>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</si>
  <si>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</si>
  <si>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</si>
  <si>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</si>
  <si>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</si>
  <si>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</si>
  <si>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04/23/2024 Project is complete.</t>
  </si>
  <si>
    <t>04/24/2024 Project is in closeout</t>
  </si>
  <si>
    <t>Godchaux - replace roof [Ben]</t>
  </si>
  <si>
    <t>CP_400263</t>
  </si>
  <si>
    <t>CP_400256</t>
  </si>
  <si>
    <t>Vaughn Home - Exterior Improvements</t>
  </si>
  <si>
    <t>1025 16th Avenue - Roof Replacement</t>
  </si>
  <si>
    <t>Law School - Elevator 1 Modernization</t>
  </si>
  <si>
    <t>crowhus_05312024_FRP</t>
  </si>
  <si>
    <t>Wilson Hall - Replace Urinals in 1st floor Men's Room (PI-987)</t>
  </si>
  <si>
    <t>CP_400270</t>
  </si>
  <si>
    <t>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t>
  </si>
  <si>
    <t>06/26/2024 work is complete</t>
  </si>
  <si>
    <t>06/24/2024 Project on schedule and on budget.</t>
  </si>
  <si>
    <t>07/01/2024 Partial roof replacement and RTU's are substantially complete. Door hardware will be replaced then project will be closed out.</t>
  </si>
  <si>
    <t>06/24/2024 Kick-off meeting on 0722/24</t>
  </si>
  <si>
    <t>06/26/2024 Final design review scheduled for July 1. Will have out to bid near end of the summer.</t>
  </si>
  <si>
    <t>06/26/2024 We are awaiting definitive plans from the CUI project to determine where our chilled water connection will be. If hot water goes past the building as part of CUI we will rework the design to include hot water connection.</t>
  </si>
  <si>
    <t>06/27/2024 Animal lab wiil be completed by the end of June. All electrical is finished except punchlist items. FCP is ready to start flipping over floors starting in July. Project is ahead of schedule.</t>
  </si>
  <si>
    <t>06/26/2024 FM Sylvan was awarded this project, and we are awaiting a PO. A&amp;S stated winter 2024 is the best time to do this project. Lead time for equipment is 10-12 weeks.</t>
  </si>
  <si>
    <t>06/26/2024 This is an FY25 project.  Chancellor memo has been submitted for approval.  Andy will schedule a kickoff meeting with Anthony Tharp in mid-July.</t>
  </si>
  <si>
    <t>06/24/2024 Project under budget and on schedule</t>
  </si>
  <si>
    <t>06/27/2024 Project is 80% complete.  Interior work scheduled for 7/22.  Exterior work is nearly complete as of 6/28</t>
  </si>
  <si>
    <t>06/27/2024 Slate roof has been removed and new water vaper barrier has been installed.  Copper work is scheduled to start 07/01.  Windows have been delayed to a mid August delivery and installation.  This will not affect the overall schedule of a 12/31/2024 completion.</t>
  </si>
  <si>
    <t>06/27/2024 We have received revised drawings from the engineer.  Drawings have been sent to the contractor.   Awaiting start date and revised pricing.</t>
  </si>
  <si>
    <t>06/27/2024 PO has been issued and we are currently waiting on the submittals for review.  Construction to start in October.</t>
  </si>
  <si>
    <t>06/27/2024 05/29/2024 VUMO is managing this project.  CPC is helping with the PO process.  PO has been issued.  Scaffolding is up around the building.</t>
  </si>
  <si>
    <t>06/26/2024 Equipment is due to arrive in July, but we are currently working on schedule. This project will require a UO and we are working with lab occupants to find best time. Mark Harrington has been brought up to speed on the project and is helping to coordinate.</t>
  </si>
  <si>
    <t>06/27/2024 Components are currently in production.  Awaiting delivery to start replacement of the jacks.</t>
  </si>
  <si>
    <t>06/27/2024 Project started, front porch demo completed.  Framing to begin 7/1.  No delays anticipated.</t>
  </si>
  <si>
    <t>06/27/2024 /Construction is scheduled to start 07/01 and be completed by 07/05</t>
  </si>
  <si>
    <t>06/27/2024 Scaffolding installed, work to begin 7/1.  No delays anticipated.</t>
  </si>
  <si>
    <t>06/26/2024 05/28/2024 Scope of work has been completed for card reader upgrades. We have received scope of work for the camera install, awaiting cut sheets. Project will go out to bid in July</t>
  </si>
  <si>
    <t>06/26/2024 Old building has had all VAVs repaired. Nashville Machine is working on the new building currently and throughout July. We are awaiting a CO for repairs to the hot water pumps in the old building, and the zone will pay for duct cleaning on AHU 2 in the old building.</t>
  </si>
  <si>
    <t>06/27/2024 Lerch Bates PO has been issued and we are working through the scope of work.  This is going to be a summer 25 project.</t>
  </si>
  <si>
    <t>06/27/2024 Working with the appropriate parties to determine the scope of work.</t>
  </si>
  <si>
    <t>New project, not yet started.</t>
  </si>
  <si>
    <t>05/21/2024 waiting for FY 26 funding</t>
  </si>
  <si>
    <t>crowhus_06302024_FRP</t>
  </si>
  <si>
    <t>FY25 FRP Transferred</t>
  </si>
  <si>
    <t>FY25 FRP Total Contribution</t>
  </si>
  <si>
    <t>JE LOG_FY25'!A1</t>
  </si>
  <si>
    <t>Unspent funds</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</si>
  <si>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</si>
  <si>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</si>
  <si>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</si>
  <si>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</si>
  <si>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</si>
  <si>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</si>
  <si>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</si>
  <si>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</si>
  <si>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</si>
  <si>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</si>
  <si>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</si>
  <si>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</si>
  <si>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</si>
  <si>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Seigenthaler (Baker?) as an FRP building? AYS to report back</t>
  </si>
  <si>
    <t>SC5 - HVAC upgrades (phased) (PIs submitted)</t>
  </si>
  <si>
    <t>Wilson Hall - HVAC upgrades (phased) (PIs submitted)</t>
  </si>
  <si>
    <t>Godchaux Hall - HVAC Upgrade - Phase 1</t>
  </si>
  <si>
    <t>crowhus_07312024_FRP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</si>
</sst>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5"/>
  </cellStyleXfs>
  <cellXfs count="27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0" borderId="6" xfId="1" applyNumberFormat="1" applyFont="1" applyFill="1" applyBorder="1" applyAlignment="1">
      <alignment horizontal="right" vertical="center" readingOrder="1"/>
    </xf>
    <xf numFmtId="164" fontId="0" fillId="30" borderId="0" xfId="1" applyNumberFormat="1" applyFont="1" applyFill="1" applyBorder="1" applyAlignment="1">
      <alignment vertical="center"/>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32" fillId="0" borderId="0" xfId="1" applyNumberFormat="1"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0" fontId="12" fillId="11" borderId="0" xfId="0" applyFont="1" applyFill="1" applyAlignment="1">
      <alignment horizontal="center"/>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164" fontId="2" fillId="27" borderId="0" xfId="13" applyNumberFormat="1" applyAlignment="1">
      <alignment horizontal="center" vertical="center"/>
    </xf>
    <xf numFmtId="0" fontId="22" fillId="27"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2">
    <dxf>
      <alignment horizontal="right"/>
    </dxf>
    <dxf>
      <alignment horizontal="right"/>
    </dxf>
  </dxfs>
  <tableStyles count="0" defaultTableStyle="TableStyleMedium2" defaultPivotStyle="PivotStyleLight16"/>
  <colors>
    <mruColors>
      <color rgb="FFFFFF93"/>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microsoft.com/office/2007/relationships/slicerCache" Target="slicerCaches/slicerCache1.xml"/><Relationship Id="rId68"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07/relationships/slicerCache" Target="slicerCaches/slicerCache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microsoft.com/office/2007/relationships/slicerCache" Target="slicerCaches/slicerCache2.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pivotCacheDefinition" Target="pivotCache/pivotCacheDefinition1.xml"/><Relationship Id="rId7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png"/><Relationship Id="rId5" Type="http://schemas.openxmlformats.org/officeDocument/2006/relationships/image" Target="../media/image23.png"/><Relationship Id="rId10" Type="http://schemas.openxmlformats.org/officeDocument/2006/relationships/image" Target="../media/image28.png"/><Relationship Id="rId4" Type="http://schemas.openxmlformats.org/officeDocument/2006/relationships/image" Target="../media/image22.png"/><Relationship Id="rId9"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121341</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126516</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143308</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123801</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9505</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47610</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8159</xdr:colOff>
      <xdr:row>66</xdr:row>
      <xdr:rowOff>12209</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7901</xdr:colOff>
      <xdr:row>74</xdr:row>
      <xdr:rowOff>84359</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29936</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122697</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568290</xdr:colOff>
      <xdr:row>20</xdr:row>
      <xdr:rowOff>47625</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87086</xdr:colOff>
      <xdr:row>62</xdr:row>
      <xdr:rowOff>88446</xdr:rowOff>
    </xdr:from>
    <xdr:to>
      <xdr:col>5</xdr:col>
      <xdr:colOff>390525</xdr:colOff>
      <xdr:row>65</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371496</xdr:colOff>
      <xdr:row>10</xdr:row>
      <xdr:rowOff>161978</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16329</xdr:colOff>
      <xdr:row>21</xdr:row>
      <xdr:rowOff>160552</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258561</xdr:colOff>
      <xdr:row>19</xdr:row>
      <xdr:rowOff>29961</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11</xdr:col>
      <xdr:colOff>681593</xdr:colOff>
      <xdr:row>58</xdr:row>
      <xdr:rowOff>7744</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475.475433564818" createdVersion="8" refreshedVersion="8" minRefreshableVersion="3" recordCount="55" xr:uid="{8AB1A1AE-C44F-47BF-8494-AC7DEEB3A20F}">
  <cacheSource type="worksheet">
    <worksheetSource ref="B3:X58" sheet="Project Status"/>
  </cacheSource>
  <cacheFields count="23">
    <cacheField name="Capex / Opex" numFmtId="0">
      <sharedItems containsBlank="1" count="4">
        <s v="Operating"/>
        <s v="Capital"/>
        <s v="TBD"/>
        <m/>
      </sharedItems>
    </cacheField>
    <cacheField name="eBuilder" numFmtId="0">
      <sharedItems containsString="0" containsBlank="1" containsNumber="1" containsInteger="1" minValue="10085" maxValue="20982"/>
    </cacheField>
    <cacheField name="AiM" numFmtId="0">
      <sharedItems containsString="0" containsBlank="1" containsNumber="1" containsInteger="1" minValue="529" maxValue="36015"/>
    </cacheField>
    <cacheField name="Oracle" numFmtId="0">
      <sharedItems containsBlank="1"/>
    </cacheField>
    <cacheField name="School" numFmtId="0">
      <sharedItems containsBlank="1"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m/>
      </sharedItems>
    </cacheField>
    <cacheField name="Lookup" numFmtId="0">
      <sharedItems containsBlank="1" count="11">
        <s v="Peabody"/>
        <s v="SOM Basic Sciences"/>
        <s v="Nursing"/>
        <s v="Law"/>
        <s v="Blair"/>
        <s v="Divinity"/>
        <s v="Arts &amp; Science"/>
        <s v="Engineering"/>
        <s v="Owen"/>
        <s v="Other"/>
        <m/>
      </sharedItems>
    </cacheField>
    <cacheField name="Building" numFmtId="0">
      <sharedItems containsBlank="1" count="27">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 v="VAUGHN HOME"/>
        <s v="FRIST HALL"/>
        <s v="NEELY AUDITORIUM"/>
        <s v="SEIGENTHALER CENTER"/>
        <s v="FURMAN HALL"/>
        <m/>
      </sharedItems>
    </cacheField>
    <cacheField name="Project" numFmtId="0">
      <sharedItems containsBlank="1" count="55">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SC6 - HVAC Upgrades - Feasibility Study"/>
        <s v="Wilson Hall - HVAC Replacement"/>
        <s v="SC5 - HVAC Replacement"/>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Neely Auditorium - MEP Feasibility Study"/>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m/>
      </sharedItems>
    </cacheField>
    <cacheField name="Phase" numFmtId="0">
      <sharedItems containsBlank="1" count="9">
        <s v="Finalized"/>
        <s v="Construction"/>
        <s v="Warranty or Construction Closeout"/>
        <s v="Not Started"/>
        <s v="Award"/>
        <s v="Design"/>
        <s v="Financial Closeout"/>
        <s v="Programming or Planning"/>
        <m/>
      </sharedItems>
    </cacheField>
    <cacheField name="Manager" numFmtId="0">
      <sharedItems containsBlank="1"/>
    </cacheField>
    <cacheField name="Estimated total budget" numFmtId="164">
      <sharedItems containsString="0" containsBlank="1" containsNumber="1" minValue="0" maxValue="37472926.759999998"/>
    </cacheField>
    <cacheField name="Approved budget" numFmtId="164">
      <sharedItems containsSemiMixedTypes="0" containsString="0" containsNumber="1" minValue="0" maxValue="25895794.339999996"/>
    </cacheField>
    <cacheField name="Approved commitments" numFmtId="164">
      <sharedItems containsSemiMixedTypes="0" containsString="0" containsNumber="1" minValue="0" maxValue="23828507.420000002"/>
    </cacheField>
    <cacheField name="Projected commitments" numFmtId="164">
      <sharedItems containsSemiMixedTypes="0" containsString="0" containsNumber="1" minValue="0" maxValue="23877879.420000002"/>
    </cacheField>
    <cacheField name="Invoices Approved" numFmtId="164">
      <sharedItems containsSemiMixedTypes="0" containsString="0" containsNumber="1" minValue="0" maxValue="16025805.570000002"/>
    </cacheField>
    <cacheField name="Unallocated Reserve" numFmtId="164">
      <sharedItems containsString="0" containsBlank="1" containsNumber="1" minValue="0" maxValue="92965.86"/>
    </cacheField>
    <cacheField name="FY23 FRP Cash Transferred" numFmtId="164">
      <sharedItems containsSemiMixedTypes="0" containsString="0" containsNumber="1" minValue="0" maxValue="8797286.2599999998"/>
    </cacheField>
    <cacheField name="FY24 FRP Transferred" numFmtId="164">
      <sharedItems containsSemiMixedTypes="0" containsString="0" containsNumber="1" minValue="-119221" maxValue="11427472.939999999"/>
    </cacheField>
    <cacheField name="FY25 FRP Transferred" numFmtId="164">
      <sharedItems containsSemiMixedTypes="0" containsString="0" containsNumber="1" containsInteger="1" minValue="0" maxValue="0"/>
    </cacheField>
    <cacheField name="FY25 FRP Estimated" numFmtId="164">
      <sharedItems containsMixedTypes="1" containsNumber="1" containsInteger="1" minValue="0" maxValue="6439500"/>
    </cacheField>
    <cacheField name="FY25 FRP Total Contribution" numFmtId="164">
      <sharedItems containsMixedTypes="1" containsNumber="1" containsInteger="1" minValue="0" maxValue="6439500"/>
    </cacheField>
    <cacheField name="FY26 FRP Estimated" numFmtId="164">
      <sharedItems containsMixedTypes="1" containsNumber="1" containsInteger="1" minValue="0" maxValue="8430000"/>
    </cacheField>
    <cacheField name="Project status update" numFmtId="0">
      <sharedItems containsBlank="1" longText="1"/>
    </cacheField>
  </cacheFields>
  <extLst>
    <ext xmlns:x14="http://schemas.microsoft.com/office/spreadsheetml/2009/9/main" uri="{725AE2AE-9491-48be-B2B4-4EB974FC3084}">
      <x14:pivotCacheDefinition pivotCacheId="15132841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10085"/>
    <n v="4591"/>
    <m/>
    <x v="0"/>
    <x v="0"/>
    <x v="0"/>
    <x v="0"/>
    <x v="0"/>
    <s v="Sean Rewers"/>
    <n v="17500"/>
    <n v="22000"/>
    <n v="17500"/>
    <n v="17500"/>
    <n v="17500"/>
    <n v="0"/>
    <n v="17500"/>
    <n v="0"/>
    <n v="0"/>
    <n v="0"/>
    <n v="0"/>
    <n v="0"/>
    <s v="03/22/2023 Project is in closeout."/>
  </r>
  <r>
    <x v="1"/>
    <n v="10098"/>
    <n v="1627"/>
    <s v="CP_400023"/>
    <x v="1"/>
    <x v="1"/>
    <x v="1"/>
    <x v="1"/>
    <x v="0"/>
    <s v="Hans Mooy"/>
    <n v="1216485.5"/>
    <n v="1216485.5"/>
    <n v="1212084.54"/>
    <n v="1212084.54"/>
    <n v="1212084.54"/>
    <n v="0"/>
    <n v="1216485.5"/>
    <n v="-4400.96"/>
    <n v="0"/>
    <n v="0"/>
    <n v="0"/>
    <n v="0"/>
    <s v="08/22/2023 project complete"/>
  </r>
  <r>
    <x v="1"/>
    <n v="10146"/>
    <n v="4418"/>
    <s v="CP_400025"/>
    <x v="2"/>
    <x v="2"/>
    <x v="2"/>
    <x v="2"/>
    <x v="1"/>
    <s v="Sean Rewers"/>
    <n v="318000"/>
    <n v="318057"/>
    <n v="241766.9"/>
    <n v="241766.9"/>
    <n v="116075.13"/>
    <m/>
    <n v="4900"/>
    <n v="255957"/>
    <n v="0"/>
    <n v="0"/>
    <n v="0"/>
    <n v="0"/>
    <s v="06/26/2024 Piping has been installed in hallway, connected to chilled water valves, and run into the mechanical room. Plenum has be reworked to allow access for chilled water lines. Have a UO scheduled to connect the building to chilled water the first week of July. Hallway will be repaired after testing and insulation of piping. Crane lift to remove chillers and pumps is tentatively mid-July."/>
  </r>
  <r>
    <x v="1"/>
    <n v="20179"/>
    <n v="36015"/>
    <s v="CP_400024"/>
    <x v="3"/>
    <x v="3"/>
    <x v="3"/>
    <x v="3"/>
    <x v="2"/>
    <s v="Bob Grummon"/>
    <n v="1445389"/>
    <n v="1445389"/>
    <n v="1352423.14"/>
    <n v="1352423.14"/>
    <n v="1352423.14"/>
    <n v="92965.86"/>
    <n v="722694.5"/>
    <n v="0"/>
    <n v="0"/>
    <n v="0"/>
    <n v="0"/>
    <n v="0"/>
    <s v="06/26/2024 work is complete"/>
  </r>
  <r>
    <x v="1"/>
    <n v="20336"/>
    <n v="20075"/>
    <s v="CP_400056"/>
    <x v="4"/>
    <x v="4"/>
    <x v="4"/>
    <x v="4"/>
    <x v="0"/>
    <s v="Ben Bedock"/>
    <n v="327890"/>
    <n v="327890"/>
    <n v="280600"/>
    <n v="280600"/>
    <n v="280600"/>
    <m/>
    <n v="327890"/>
    <n v="-47290"/>
    <n v="0"/>
    <n v="0"/>
    <n v="0"/>
    <n v="0"/>
    <s v="01/22/2024 Project complete.  Waiting on final invoice to clear to begin the financial closeout process."/>
  </r>
  <r>
    <x v="1"/>
    <n v="20431"/>
    <n v="8084"/>
    <s v="CP_400108"/>
    <x v="5"/>
    <x v="5"/>
    <x v="5"/>
    <x v="5"/>
    <x v="1"/>
    <s v="Hans Mooy"/>
    <n v="3800000"/>
    <n v="3800000"/>
    <n v="3582817.72"/>
    <n v="3607017.72"/>
    <n v="2806495.03"/>
    <m/>
    <n v="69862.5"/>
    <n v="3660360"/>
    <n v="0"/>
    <n v="0"/>
    <n v="0"/>
    <n v="0"/>
    <s v="06/24/2024 Project on schedule and on budget."/>
  </r>
  <r>
    <x v="1"/>
    <n v="20478"/>
    <n v="8672"/>
    <s v="CP_400182"/>
    <x v="6"/>
    <x v="6"/>
    <x v="6"/>
    <x v="6"/>
    <x v="2"/>
    <s v="Cathy Bartlett"/>
    <n v="2790000"/>
    <n v="2790000"/>
    <n v="2776273.72"/>
    <n v="2776273.72"/>
    <n v="2495888.9900000002"/>
    <m/>
    <n v="81100"/>
    <n v="1028900"/>
    <n v="0"/>
    <n v="0"/>
    <n v="0"/>
    <n v="0"/>
    <s v="07/01/2024 Partial roof replacement and RTU's are substantially complete. Door hardware will be replaced then project will be closed out."/>
  </r>
  <r>
    <x v="1"/>
    <n v="20489"/>
    <n v="8051"/>
    <s v="CP_400183"/>
    <x v="5"/>
    <x v="5"/>
    <x v="5"/>
    <x v="7"/>
    <x v="3"/>
    <s v="Hans Mooy"/>
    <n v="4650000"/>
    <n v="26500"/>
    <n v="15895"/>
    <n v="15895"/>
    <n v="14407.5"/>
    <m/>
    <n v="26500"/>
    <n v="0"/>
    <n v="0"/>
    <n v="0"/>
    <n v="0"/>
    <n v="3170000"/>
    <s v="10/23/2023 On Hold till FY26"/>
  </r>
  <r>
    <x v="1"/>
    <n v="20497"/>
    <n v="529"/>
    <s v="CP_400127"/>
    <x v="0"/>
    <x v="0"/>
    <x v="7"/>
    <x v="8"/>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x v="0"/>
    <s v="Sean Rewers"/>
    <n v="400000"/>
    <n v="405791"/>
    <n v="362559.64"/>
    <n v="362559.64"/>
    <n v="362559.64"/>
    <m/>
    <n v="405791"/>
    <n v="-43231.360000000001"/>
    <n v="0"/>
    <n v="0"/>
    <n v="0"/>
    <n v="0"/>
    <s v="01/22/2024 Project is in closeout"/>
  </r>
  <r>
    <x v="2"/>
    <n v="20563"/>
    <n v="4624"/>
    <m/>
    <x v="7"/>
    <x v="7"/>
    <x v="9"/>
    <x v="11"/>
    <x v="3"/>
    <s v="Ben Bedock"/>
    <n v="386000"/>
    <n v="0"/>
    <n v="0"/>
    <n v="0"/>
    <n v="0"/>
    <m/>
    <n v="0"/>
    <n v="0"/>
    <n v="0"/>
    <n v="0"/>
    <n v="0"/>
    <s v="TBD"/>
    <s v="03/24/2023 Working with appropriate parties to determine scope of work."/>
  </r>
  <r>
    <x v="1"/>
    <n v="20566"/>
    <n v="20054"/>
    <s v="CP_400151"/>
    <x v="6"/>
    <x v="6"/>
    <x v="10"/>
    <x v="12"/>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x v="0"/>
    <s v="Ben Bedock"/>
    <n v="1232681"/>
    <n v="1232681"/>
    <n v="1113460"/>
    <n v="1113460"/>
    <n v="1113460"/>
    <m/>
    <n v="1232681"/>
    <n v="-119221"/>
    <n v="0"/>
    <n v="0"/>
    <n v="0"/>
    <n v="0"/>
    <s v="01/22/2024 Project is complete.  Waiting on final invoice to clear to begin the closeout process."/>
  </r>
  <r>
    <x v="1"/>
    <n v="20574"/>
    <n v="8145"/>
    <s v="CP_400164"/>
    <x v="1"/>
    <x v="1"/>
    <x v="1"/>
    <x v="14"/>
    <x v="0"/>
    <s v="Sean Rewers"/>
    <n v="218202"/>
    <n v="218202"/>
    <n v="195665"/>
    <n v="195665"/>
    <n v="195665"/>
    <m/>
    <n v="218202"/>
    <n v="-22537"/>
    <n v="0"/>
    <n v="0"/>
    <n v="0"/>
    <n v="0"/>
    <s v="01/22/2024 Project is in closeout"/>
  </r>
  <r>
    <x v="1"/>
    <n v="20577"/>
    <n v="8146"/>
    <s v="CP_400154"/>
    <x v="4"/>
    <x v="4"/>
    <x v="4"/>
    <x v="15"/>
    <x v="4"/>
    <s v="Hans Mooy"/>
    <n v="1500000"/>
    <n v="223000"/>
    <n v="220566.21"/>
    <n v="220566.21"/>
    <n v="185191.21"/>
    <m/>
    <n v="223000"/>
    <n v="0"/>
    <n v="0"/>
    <n v="1300000"/>
    <n v="1300000"/>
    <n v="2510000"/>
    <s v="06/24/2024 Kick-off meeting on 0722/24"/>
  </r>
  <r>
    <x v="1"/>
    <n v="20644"/>
    <n v="8241"/>
    <s v="CP_400171"/>
    <x v="0"/>
    <x v="0"/>
    <x v="11"/>
    <x v="16"/>
    <x v="0"/>
    <s v="Ben Bedock"/>
    <n v="630554"/>
    <n v="630554"/>
    <n v="571789"/>
    <n v="571789"/>
    <n v="571789"/>
    <m/>
    <n v="630554"/>
    <n v="-58765"/>
    <n v="0"/>
    <n v="0"/>
    <n v="0"/>
    <n v="0"/>
    <s v="10/23/2023 Project complete.  Waiting on final invoice to clear to begin the financial closeout process."/>
  </r>
  <r>
    <x v="0"/>
    <n v="20645"/>
    <n v="8239"/>
    <m/>
    <x v="6"/>
    <x v="6"/>
    <x v="12"/>
    <x v="17"/>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x v="5"/>
    <s v="Sean Rewers"/>
    <n v="2000000"/>
    <n v="146500"/>
    <n v="146500"/>
    <n v="146500"/>
    <n v="57500"/>
    <m/>
    <n v="146500"/>
    <n v="0"/>
    <n v="0"/>
    <n v="2000000"/>
    <n v="2000000"/>
    <n v="0"/>
    <s v="06/26/2024 Final design review scheduled for July 1. Will have out to bid near end of the summer."/>
  </r>
  <r>
    <x v="1"/>
    <n v="20668"/>
    <n v="8151"/>
    <s v="CP_400163"/>
    <x v="7"/>
    <x v="7"/>
    <x v="9"/>
    <x v="19"/>
    <x v="5"/>
    <s v="Sean Rewers"/>
    <n v="0"/>
    <n v="231433"/>
    <n v="231433"/>
    <n v="231433"/>
    <n v="89710"/>
    <m/>
    <n v="206500"/>
    <n v="24933"/>
    <n v="0"/>
    <s v="TBD"/>
    <s v="TBD"/>
    <n v="0"/>
    <s v="06/26/2024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x v="1"/>
    <s v="Sean Rewers"/>
    <n v="680000"/>
    <n v="678513"/>
    <n v="583771"/>
    <n v="583771"/>
    <n v="243015.9"/>
    <m/>
    <n v="29250"/>
    <n v="649263"/>
    <n v="0"/>
    <n v="0"/>
    <n v="0"/>
    <n v="0"/>
    <s v="06/27/2024 Animal lab wiil be completed by the end of June. All electrical is finished except punchlist items. FCP is ready to start flipping over floors starting in July. Project is ahead of schedule."/>
  </r>
  <r>
    <x v="0"/>
    <n v="20700"/>
    <n v="851"/>
    <m/>
    <x v="6"/>
    <x v="6"/>
    <x v="10"/>
    <x v="21"/>
    <x v="0"/>
    <s v="Sean Rewers"/>
    <n v="80000"/>
    <n v="85577"/>
    <n v="85576.77"/>
    <n v="85576.77"/>
    <n v="85576.77"/>
    <m/>
    <n v="79623"/>
    <n v="5954"/>
    <n v="0"/>
    <n v="0"/>
    <n v="0"/>
    <n v="0"/>
    <s v="11/27/2023 Project is in closeout"/>
  </r>
  <r>
    <x v="1"/>
    <n v="20701"/>
    <n v="4399"/>
    <s v="CP_400198"/>
    <x v="6"/>
    <x v="6"/>
    <x v="15"/>
    <x v="22"/>
    <x v="4"/>
    <s v="Sean Rewers"/>
    <n v="500000"/>
    <n v="499093"/>
    <n v="400593"/>
    <n v="400593"/>
    <n v="14400"/>
    <m/>
    <n v="499093"/>
    <n v="0"/>
    <n v="0"/>
    <n v="0"/>
    <n v="0"/>
    <n v="0"/>
    <s v="06/26/2024 FM Sylvan was awarded this project, and we are awaiting a PO. A&amp;S stated winter 2024 is the best time to do this project. Lead time for equipment is 10-12 weeks."/>
  </r>
  <r>
    <x v="1"/>
    <n v="20702"/>
    <n v="8432"/>
    <s v="CP_400165"/>
    <x v="0"/>
    <x v="0"/>
    <x v="8"/>
    <x v="23"/>
    <x v="0"/>
    <s v="Ben Bedock"/>
    <n v="225791"/>
    <n v="239341"/>
    <n v="209419"/>
    <n v="209419"/>
    <n v="209419"/>
    <m/>
    <n v="239341"/>
    <n v="-29922"/>
    <n v="0"/>
    <n v="0"/>
    <n v="0"/>
    <n v="0"/>
    <s v="12/18/2023 Project complete.  Waiting on final invoice to clear to begin the financial closeout process."/>
  </r>
  <r>
    <x v="1"/>
    <n v="20718"/>
    <n v="8608"/>
    <s v="CP_400174"/>
    <x v="6"/>
    <x v="6"/>
    <x v="16"/>
    <x v="24"/>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x v="4"/>
    <s v="Andy Maddox"/>
    <n v="1610000"/>
    <n v="160500"/>
    <n v="155232.51999999999"/>
    <n v="155232.51999999999"/>
    <n v="138595.01999999999"/>
    <m/>
    <n v="160500"/>
    <n v="0"/>
    <n v="0"/>
    <n v="1539500"/>
    <n v="1539500"/>
    <n v="0"/>
    <s v="06/26/2024 This is an FY25 project.  Chancellor memo has been submitted for approval.  Andy will schedule a kickoff meeting with Anthony Tharp in mid-July."/>
  </r>
  <r>
    <x v="1"/>
    <n v="20724"/>
    <n v="8557"/>
    <s v="CP_400178"/>
    <x v="4"/>
    <x v="4"/>
    <x v="4"/>
    <x v="26"/>
    <x v="1"/>
    <s v="Hans Mooy"/>
    <n v="1987500"/>
    <n v="1987500"/>
    <n v="1784625"/>
    <n v="1784625"/>
    <n v="1064006.6499999999"/>
    <m/>
    <n v="23400"/>
    <n v="1964100"/>
    <n v="0"/>
    <n v="0"/>
    <n v="0"/>
    <n v="0"/>
    <s v="06/24/2024 Project under budget and on schedule"/>
  </r>
  <r>
    <x v="0"/>
    <n v="20735"/>
    <n v="8226"/>
    <m/>
    <x v="8"/>
    <x v="8"/>
    <x v="17"/>
    <x v="27"/>
    <x v="6"/>
    <s v="Ben Bedock"/>
    <n v="300000"/>
    <n v="300000"/>
    <n v="276500"/>
    <n v="276500"/>
    <n v="276500"/>
    <n v="0"/>
    <n v="300000"/>
    <n v="-23500"/>
    <n v="0"/>
    <n v="0"/>
    <n v="0"/>
    <n v="0"/>
    <s v="04/23/2024 Project is complete."/>
  </r>
  <r>
    <x v="1"/>
    <n v="20767"/>
    <n v="8673"/>
    <s v="CP_400242"/>
    <x v="0"/>
    <x v="0"/>
    <x v="18"/>
    <x v="28"/>
    <x v="1"/>
    <s v="Jay Surprenant"/>
    <n v="149000"/>
    <n v="148299"/>
    <n v="125699"/>
    <n v="125699"/>
    <n v="0"/>
    <m/>
    <n v="0"/>
    <n v="148299"/>
    <n v="0"/>
    <n v="0"/>
    <n v="0"/>
    <n v="0"/>
    <s v="06/27/2024 Project is 80% complete.  Interior work scheduled for 7/22.  Exterior work is nearly complete as of 6/28"/>
  </r>
  <r>
    <x v="0"/>
    <n v="20771"/>
    <n v="8674"/>
    <m/>
    <x v="6"/>
    <x v="6"/>
    <x v="10"/>
    <x v="29"/>
    <x v="0"/>
    <s v="Sean Rewers"/>
    <n v="25000"/>
    <n v="24997"/>
    <n v="17972"/>
    <n v="17972"/>
    <n v="17972"/>
    <m/>
    <n v="24997"/>
    <n v="-7025"/>
    <n v="0"/>
    <n v="0"/>
    <n v="0"/>
    <n v="0"/>
    <s v="07/24/2023 Project is complete. I will begin closeout after taking some final photos of the space."/>
  </r>
  <r>
    <x v="1"/>
    <n v="20772"/>
    <n v="8675"/>
    <s v="CP_400235"/>
    <x v="8"/>
    <x v="8"/>
    <x v="17"/>
    <x v="30"/>
    <x v="1"/>
    <s v="Ben Bedock"/>
    <n v="3200000"/>
    <n v="3200000"/>
    <n v="2936840.14"/>
    <n v="2936840.14"/>
    <n v="0"/>
    <m/>
    <n v="0"/>
    <n v="1600000"/>
    <n v="0"/>
    <n v="1600000"/>
    <n v="1600000"/>
    <n v="0"/>
    <s v="06/27/2024 Slate roof has been removed and new water vaper barrier has been installed.  Copper work is scheduled to start 07/01.  Windows have been delayed to a mid August delivery and installation.  This will not affect the overall schedule of a 12/31/2024 completion."/>
  </r>
  <r>
    <x v="1"/>
    <n v="20792"/>
    <n v="1035"/>
    <s v="CP_400206"/>
    <x v="3"/>
    <x v="3"/>
    <x v="3"/>
    <x v="31"/>
    <x v="0"/>
    <s v="Ben Bedock"/>
    <n v="400000"/>
    <n v="483440"/>
    <n v="450775"/>
    <n v="450775"/>
    <n v="450775"/>
    <m/>
    <n v="483440"/>
    <n v="-32665"/>
    <n v="0"/>
    <n v="0"/>
    <n v="0"/>
    <n v="0"/>
    <s v="12/18/2023 Construction complete.  Waiting on final invoices to clear to begin the closeout process."/>
  </r>
  <r>
    <x v="1"/>
    <n v="20811"/>
    <m/>
    <s v="CP_400224"/>
    <x v="0"/>
    <x v="0"/>
    <x v="0"/>
    <x v="32"/>
    <x v="1"/>
    <s v="Ben Bedock"/>
    <n v="75000"/>
    <n v="285233.27"/>
    <n v="243124.27"/>
    <n v="243124.27"/>
    <n v="51320"/>
    <m/>
    <n v="0"/>
    <n v="285233.27"/>
    <n v="0"/>
    <n v="0"/>
    <n v="0"/>
    <n v="0"/>
    <s v="06/27/2024 We have received revised drawings from the engineer.  Drawings have been sent to the contractor.   Awaiting start date and revised pricing."/>
  </r>
  <r>
    <x v="0"/>
    <n v="20831"/>
    <n v="8230"/>
    <m/>
    <x v="6"/>
    <x v="6"/>
    <x v="19"/>
    <x v="33"/>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4"/>
    <x v="0"/>
    <s v="Sean Rewers"/>
    <n v="24000"/>
    <n v="24000"/>
    <n v="24000"/>
    <n v="24000"/>
    <n v="24000"/>
    <m/>
    <n v="0"/>
    <n v="24000"/>
    <n v="0"/>
    <n v="0"/>
    <n v="0"/>
    <n v="0"/>
    <s v="01/22/2024 Project study and estimated pricing is complete. Project in closeout."/>
  </r>
  <r>
    <x v="0"/>
    <n v="20833"/>
    <n v="8215"/>
    <m/>
    <x v="6"/>
    <x v="6"/>
    <x v="15"/>
    <x v="35"/>
    <x v="6"/>
    <s v="Sean Rewers"/>
    <n v="24000"/>
    <n v="24000"/>
    <n v="24000"/>
    <n v="24000"/>
    <n v="24000"/>
    <m/>
    <n v="0"/>
    <n v="24000"/>
    <n v="0"/>
    <n v="0"/>
    <n v="0"/>
    <n v="0"/>
    <s v="04/24/2024 Project is in closeout"/>
  </r>
  <r>
    <x v="0"/>
    <n v="20834"/>
    <m/>
    <m/>
    <x v="0"/>
    <x v="0"/>
    <x v="8"/>
    <x v="36"/>
    <x v="0"/>
    <s v="Sean Rewers"/>
    <n v="5000"/>
    <n v="0"/>
    <n v="0"/>
    <n v="0"/>
    <n v="0"/>
    <m/>
    <n v="0"/>
    <n v="0"/>
    <n v="0"/>
    <n v="0"/>
    <n v="0"/>
    <n v="0"/>
    <s v="09/27/2023 This project is on hold until October. We are awaiting approval from the CBO for initial funding which will be repaid by the FRP."/>
  </r>
  <r>
    <x v="1"/>
    <n v="20857"/>
    <n v="8427"/>
    <s v="CP_400227"/>
    <x v="0"/>
    <x v="0"/>
    <x v="0"/>
    <x v="37"/>
    <x v="1"/>
    <s v="Ben Bedock"/>
    <n v="499184"/>
    <n v="499184"/>
    <n v="461612"/>
    <n v="461612"/>
    <n v="138403.42000000001"/>
    <m/>
    <n v="0"/>
    <n v="499184"/>
    <n v="0"/>
    <n v="0"/>
    <n v="0"/>
    <n v="0"/>
    <s v="06/27/2024 PO has been issued and we are currently waiting on the submittals for review.  Construction to start in October."/>
  </r>
  <r>
    <x v="1"/>
    <n v="20884"/>
    <m/>
    <s v="CP_400251"/>
    <x v="3"/>
    <x v="3"/>
    <x v="3"/>
    <x v="38"/>
    <x v="1"/>
    <s v="Ben Bedock"/>
    <n v="0"/>
    <n v="675650"/>
    <n v="551283"/>
    <n v="551283"/>
    <n v="81894"/>
    <m/>
    <n v="0"/>
    <n v="675650"/>
    <n v="0"/>
    <n v="0"/>
    <n v="0"/>
    <n v="0"/>
    <s v="06/27/2024 05/29/2024 VUMO is managing this project.  CPC is helping with the PO process.  PO has been issued.  Scaffolding is up around the building."/>
  </r>
  <r>
    <x v="0"/>
    <n v="20885"/>
    <n v="8676"/>
    <m/>
    <x v="6"/>
    <x v="6"/>
    <x v="20"/>
    <x v="39"/>
    <x v="4"/>
    <s v="Sean Rewers"/>
    <n v="99000"/>
    <n v="113053.4"/>
    <n v="97943.4"/>
    <n v="97943.4"/>
    <n v="0"/>
    <m/>
    <n v="0"/>
    <n v="113053.4"/>
    <n v="0"/>
    <n v="0"/>
    <n v="0"/>
    <n v="0"/>
    <s v="06/26/2024 Equipment is due to arrive in July, but we are currently working on schedule. This project will require a UO and we are working with lab occupants to find best time. Mark Harrington has been brought up to speed on the project and is helping to coordinate."/>
  </r>
  <r>
    <x v="1"/>
    <n v="20911"/>
    <n v="8819"/>
    <m/>
    <x v="6"/>
    <x v="6"/>
    <x v="16"/>
    <x v="40"/>
    <x v="1"/>
    <s v="Ben Bedock"/>
    <n v="75000"/>
    <n v="61045"/>
    <n v="54613"/>
    <n v="54613"/>
    <n v="27256.5"/>
    <m/>
    <n v="0"/>
    <n v="61045"/>
    <n v="0"/>
    <n v="0"/>
    <n v="0"/>
    <n v="0"/>
    <s v="06/27/2024 Components are currently in production.  Awaiting delivery to start replacement of the jacks."/>
  </r>
  <r>
    <x v="1"/>
    <n v="20912"/>
    <n v="8822"/>
    <m/>
    <x v="6"/>
    <x v="6"/>
    <x v="12"/>
    <x v="41"/>
    <x v="1"/>
    <s v="Ben Bedock"/>
    <n v="75000"/>
    <n v="59798"/>
    <n v="53366"/>
    <n v="53366"/>
    <n v="26632.55"/>
    <m/>
    <n v="0"/>
    <n v="59798"/>
    <n v="0"/>
    <n v="0"/>
    <n v="0"/>
    <n v="0"/>
    <s v="06/27/2024 Components are currently in production.  Awaiting delivery to start replacement of the jacks."/>
  </r>
  <r>
    <x v="1"/>
    <n v="20913"/>
    <n v="8818"/>
    <m/>
    <x v="6"/>
    <x v="6"/>
    <x v="14"/>
    <x v="42"/>
    <x v="1"/>
    <s v="Ben Bedock"/>
    <n v="75000"/>
    <n v="96612"/>
    <n v="86900"/>
    <n v="86900"/>
    <n v="43400.05"/>
    <m/>
    <n v="0"/>
    <n v="96612"/>
    <n v="0"/>
    <n v="0"/>
    <n v="0"/>
    <n v="0"/>
    <s v="06/27/2024 Components are currently in production.  Awaiting delivery to start replacement of the jacks."/>
  </r>
  <r>
    <x v="1"/>
    <n v="20922"/>
    <n v="8914"/>
    <s v="CP_400263"/>
    <x v="6"/>
    <x v="6"/>
    <x v="21"/>
    <x v="43"/>
    <x v="4"/>
    <s v="Jay Surprenant"/>
    <n v="170000"/>
    <n v="197150"/>
    <n v="170000"/>
    <n v="170000"/>
    <n v="0"/>
    <m/>
    <n v="0"/>
    <n v="197150"/>
    <n v="0"/>
    <n v="0"/>
    <n v="0"/>
    <n v="0"/>
    <s v="06/27/2024 Project started, front porch demo completed.  Framing to begin 7/1.  No delays anticipated."/>
  </r>
  <r>
    <x v="0"/>
    <n v="20924"/>
    <m/>
    <m/>
    <x v="9"/>
    <x v="2"/>
    <x v="22"/>
    <x v="44"/>
    <x v="1"/>
    <s v="Ben Bedock"/>
    <n v="0"/>
    <n v="30570"/>
    <n v="24500"/>
    <n v="24500"/>
    <n v="0"/>
    <m/>
    <n v="0"/>
    <n v="30570"/>
    <n v="0"/>
    <n v="0"/>
    <n v="0"/>
    <n v="0"/>
    <s v="06/27/2024 /Construction is scheduled to start 07/01 and be completed by 07/05"/>
  </r>
  <r>
    <x v="1"/>
    <n v="20925"/>
    <m/>
    <m/>
    <x v="4"/>
    <x v="4"/>
    <x v="4"/>
    <x v="45"/>
    <x v="3"/>
    <s v="Hans Mooy"/>
    <n v="2750000"/>
    <n v="0"/>
    <n v="0"/>
    <n v="0"/>
    <n v="0"/>
    <m/>
    <n v="0"/>
    <n v="0"/>
    <n v="0"/>
    <n v="0"/>
    <n v="0"/>
    <n v="2750000"/>
    <s v="05/21/2024 waiting for FY 26 funding"/>
  </r>
  <r>
    <x v="2"/>
    <n v="20934"/>
    <m/>
    <m/>
    <x v="6"/>
    <x v="6"/>
    <x v="23"/>
    <x v="46"/>
    <x v="3"/>
    <s v="Sean Rewers"/>
    <m/>
    <n v="0"/>
    <n v="0"/>
    <n v="0"/>
    <n v="0"/>
    <m/>
    <n v="0"/>
    <n v="0"/>
    <n v="0"/>
    <s v="TBD"/>
    <s v="TBD"/>
    <n v="0"/>
    <s v="New project, not yet started."/>
  </r>
  <r>
    <x v="2"/>
    <n v="20936"/>
    <n v="8814"/>
    <m/>
    <x v="6"/>
    <x v="6"/>
    <x v="14"/>
    <x v="47"/>
    <x v="1"/>
    <s v="Jay Surprenant"/>
    <n v="405000"/>
    <n v="404655.91"/>
    <n v="357255.91"/>
    <n v="357255.91"/>
    <n v="0"/>
    <m/>
    <n v="0"/>
    <n v="404655.91"/>
    <n v="0"/>
    <n v="0"/>
    <n v="0"/>
    <n v="0"/>
    <s v="06/27/2024 Scaffolding installed, work to begin 7/1.  No delays anticipated."/>
  </r>
  <r>
    <x v="2"/>
    <n v="20940"/>
    <m/>
    <m/>
    <x v="7"/>
    <x v="7"/>
    <x v="13"/>
    <x v="48"/>
    <x v="7"/>
    <s v="Sean Rewers"/>
    <n v="0"/>
    <n v="0"/>
    <n v="0"/>
    <n v="0"/>
    <n v="0"/>
    <m/>
    <n v="0"/>
    <n v="0"/>
    <n v="0"/>
    <s v="TBD"/>
    <s v="TBD"/>
    <n v="0"/>
    <s v="06/26/2024 05/28/2024 Scope of work has been completed for card reader upgrades. We have received scope of work for the camera install, awaiting cut sheets. Project will go out to bid in July"/>
  </r>
  <r>
    <x v="0"/>
    <n v="20945"/>
    <m/>
    <m/>
    <x v="10"/>
    <x v="9"/>
    <x v="24"/>
    <x v="49"/>
    <x v="1"/>
    <s v="Sean Rewers"/>
    <n v="99000"/>
    <n v="99000"/>
    <n v="75900"/>
    <n v="82897"/>
    <n v="0"/>
    <m/>
    <n v="0"/>
    <n v="99000"/>
    <n v="0"/>
    <n v="0"/>
    <n v="0"/>
    <n v="0"/>
    <s v="06/26/2024 Old building has had all VAVs repaired. Nashville Machine is working on the new building currently and throughout July. We are awaiting a CO for repairs to the hot water pumps in the old building, and the zone will pay for duct cleaning on AHU 2 in the old building."/>
  </r>
  <r>
    <x v="2"/>
    <n v="20958"/>
    <m/>
    <s v="CP_400256"/>
    <x v="6"/>
    <x v="6"/>
    <x v="25"/>
    <x v="50"/>
    <x v="5"/>
    <s v="Ben Bedock"/>
    <n v="290000"/>
    <n v="18175"/>
    <n v="18175"/>
    <n v="18175"/>
    <n v="0"/>
    <m/>
    <n v="0"/>
    <n v="18175"/>
    <n v="0"/>
    <s v="TBD"/>
    <s v="TBD"/>
    <n v="0"/>
    <s v="06/27/2024 Lerch Bates PO has been issued and we are working through the scope of work.  This is going to be a summer 25 project."/>
  </r>
  <r>
    <x v="2"/>
    <n v="20962"/>
    <n v="8754"/>
    <m/>
    <x v="6"/>
    <x v="6"/>
    <x v="21"/>
    <x v="51"/>
    <x v="7"/>
    <s v="Ben Bedock"/>
    <n v="0"/>
    <n v="0"/>
    <n v="0"/>
    <n v="0"/>
    <n v="0"/>
    <m/>
    <n v="0"/>
    <n v="0"/>
    <n v="0"/>
    <s v="TBD"/>
    <s v="TBD"/>
    <n v="0"/>
    <s v="06/27/2024 Working with the appropriate parties to determine the scope of work."/>
  </r>
  <r>
    <x v="1"/>
    <n v="20979"/>
    <m/>
    <m/>
    <x v="7"/>
    <x v="7"/>
    <x v="13"/>
    <x v="52"/>
    <x v="3"/>
    <s v="Ben Bedock"/>
    <m/>
    <n v="0"/>
    <n v="0"/>
    <n v="0"/>
    <n v="0"/>
    <m/>
    <n v="0"/>
    <n v="0"/>
    <n v="0"/>
    <s v="TBD"/>
    <s v="TBD"/>
    <n v="0"/>
    <s v="New project, not yet started."/>
  </r>
  <r>
    <x v="1"/>
    <n v="20982"/>
    <m/>
    <s v="CP_400270"/>
    <x v="3"/>
    <x v="3"/>
    <x v="3"/>
    <x v="53"/>
    <x v="7"/>
    <s v="Ben Bedock"/>
    <n v="270000"/>
    <n v="18175"/>
    <n v="0"/>
    <n v="18175"/>
    <n v="0"/>
    <m/>
    <n v="0"/>
    <n v="18175"/>
    <n v="0"/>
    <s v="TBD"/>
    <s v="TBD"/>
    <n v="0"/>
    <s v="06/27/2024 Lerch Bates PO has been issued and we are working through the scope of work.  This is going to be a summer 25 project."/>
  </r>
  <r>
    <x v="3"/>
    <m/>
    <m/>
    <m/>
    <x v="11"/>
    <x v="10"/>
    <x v="26"/>
    <x v="54"/>
    <x v="8"/>
    <m/>
    <n v="37472926.759999998"/>
    <n v="25895794.339999996"/>
    <n v="23828507.420000002"/>
    <n v="23877879.420000002"/>
    <n v="16025805.570000002"/>
    <n v="92965.86"/>
    <n v="8797286.2599999998"/>
    <n v="11427472.939999999"/>
    <n v="0"/>
    <n v="6439500"/>
    <n v="6439500"/>
    <n v="843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8AA97CE-598A-4607-AB8B-69B1E639D886}"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8" firstHeaderRow="0" firstDataRow="1" firstDataCol="1"/>
  <pivotFields count="23">
    <pivotField showAll="0">
      <items count="5">
        <item x="1"/>
        <item x="0"/>
        <item x="2"/>
        <item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2">
        <item h="1" x="6"/>
        <item h="1" x="4"/>
        <item h="1" x="5"/>
        <item h="1" x="7"/>
        <item h="1" x="3"/>
        <item h="1" x="2"/>
        <item h="1" x="9"/>
        <item h="1" x="8"/>
        <item x="0"/>
        <item h="1" x="1"/>
        <item h="1" x="10"/>
        <item t="default"/>
      </items>
    </pivotField>
    <pivotField showAll="0">
      <items count="28">
        <item x="13"/>
        <item x="12"/>
        <item x="20"/>
        <item x="4"/>
        <item x="6"/>
        <item x="16"/>
        <item x="5"/>
        <item x="22"/>
        <item x="25"/>
        <item x="2"/>
        <item x="7"/>
        <item x="9"/>
        <item x="3"/>
        <item x="1"/>
        <item x="23"/>
        <item x="0"/>
        <item x="17"/>
        <item x="11"/>
        <item x="10"/>
        <item x="19"/>
        <item x="15"/>
        <item x="24"/>
        <item x="18"/>
        <item x="21"/>
        <item x="14"/>
        <item x="8"/>
        <item x="26"/>
        <item t="default"/>
      </items>
    </pivotField>
    <pivotField axis="axisRow" showAll="0">
      <items count="56">
        <item x="18"/>
        <item x="17"/>
        <item x="4"/>
        <item x="6"/>
        <item x="24"/>
        <item x="2"/>
        <item x="8"/>
        <item x="19"/>
        <item x="11"/>
        <item x="3"/>
        <item x="31"/>
        <item x="1"/>
        <item x="25"/>
        <item x="14"/>
        <item x="0"/>
        <item x="27"/>
        <item x="16"/>
        <item x="12"/>
        <item x="29"/>
        <item x="35"/>
        <item x="33"/>
        <item x="28"/>
        <item x="20"/>
        <item x="34"/>
        <item x="23"/>
        <item x="36"/>
        <item x="13"/>
        <item x="10"/>
        <item x="9"/>
        <item x="5"/>
        <item x="21"/>
        <item x="22"/>
        <item x="37"/>
        <item x="30"/>
        <item x="38"/>
        <item x="39"/>
        <item x="40"/>
        <item x="41"/>
        <item x="42"/>
        <item x="43"/>
        <item x="44"/>
        <item x="45"/>
        <item x="46"/>
        <item x="47"/>
        <item x="48"/>
        <item x="7"/>
        <item x="15"/>
        <item x="26"/>
        <item x="32"/>
        <item x="49"/>
        <item x="50"/>
        <item x="51"/>
        <item x="52"/>
        <item x="53"/>
        <item x="54"/>
        <item t="default"/>
      </items>
    </pivotField>
    <pivotField axis="axisRow" showAll="0">
      <items count="10">
        <item x="1"/>
        <item x="5"/>
        <item x="0"/>
        <item x="6"/>
        <item x="3"/>
        <item x="2"/>
        <item x="4"/>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8"/>
    <field x="7"/>
  </rowFields>
  <rowItems count="15">
    <i>
      <x v="6"/>
    </i>
    <i r="1">
      <x/>
    </i>
    <i r="2">
      <x v="21"/>
    </i>
    <i r="2">
      <x v="32"/>
    </i>
    <i r="2">
      <x v="48"/>
    </i>
    <i r="1">
      <x v="2"/>
    </i>
    <i r="2">
      <x v="6"/>
    </i>
    <i r="2">
      <x v="14"/>
    </i>
    <i r="2">
      <x v="16"/>
    </i>
    <i r="2">
      <x v="24"/>
    </i>
    <i r="2">
      <x v="25"/>
    </i>
    <i r="2">
      <x v="26"/>
    </i>
    <i r="2">
      <x v="27"/>
    </i>
    <i r="2">
      <x v="28"/>
    </i>
    <i t="grand">
      <x/>
    </i>
  </rowItems>
  <colFields count="1">
    <field x="-2"/>
  </colFields>
  <colItems count="2">
    <i>
      <x/>
    </i>
    <i i="1">
      <x v="1"/>
    </i>
  </colItems>
  <dataFields count="2">
    <dataField name="Estimated Budget" fld="10" baseField="5" baseItem="1" numFmtId="3"/>
    <dataField name="Approved_Budget" fld="11" baseField="5" baseItem="1" numFmtId="3"/>
  </dataFields>
  <formats count="2">
    <format dxfId="1">
      <pivotArea dataOnly="0" labelOnly="1" outline="0" fieldPosition="0">
        <references count="1">
          <reference field="4294967294" count="2">
            <x v="0"/>
            <x v="1"/>
          </reference>
        </references>
      </pivotArea>
    </format>
    <format dxfId="0">
      <pivotArea outline="0" collapsedLevelsAreSubtotals="1" fieldPosition="0"/>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513284182">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513284182">
      <items count="27">
        <i x="7" s="1"/>
        <i x="0" s="1"/>
        <i x="11" s="1"/>
        <i x="18" s="1"/>
        <i x="8" s="1"/>
        <i x="13" s="1" nd="1"/>
        <i x="12" s="1" nd="1"/>
        <i x="20" s="1" nd="1"/>
        <i x="4" s="1" nd="1"/>
        <i x="6" s="1" nd="1"/>
        <i x="16" s="1" nd="1"/>
        <i x="5" s="1" nd="1"/>
        <i x="22" s="1" nd="1"/>
        <i x="25" s="1" nd="1"/>
        <i x="2" s="1" nd="1"/>
        <i x="9" s="1" nd="1"/>
        <i x="3" s="1" nd="1"/>
        <i x="1" s="1" nd="1"/>
        <i x="23" s="1" nd="1"/>
        <i x="17" s="1" nd="1"/>
        <i x="10" s="1" nd="1"/>
        <i x="19" s="1" nd="1"/>
        <i x="15" s="1" nd="1"/>
        <i x="24" s="1" nd="1"/>
        <i x="21" s="1" nd="1"/>
        <i x="14" s="1" nd="1"/>
        <i x="26"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513284182">
      <items count="11">
        <i x="6"/>
        <i x="4"/>
        <i x="5"/>
        <i x="7"/>
        <i x="3"/>
        <i x="2"/>
        <i x="9"/>
        <i x="8"/>
        <i x="0" s="1"/>
        <i x="1"/>
        <i x="10"/>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513284182">
      <items count="9">
        <i x="1" s="1"/>
        <i x="0" s="1"/>
        <i x="4" s="1" nd="1"/>
        <i x="5" s="1" nd="1"/>
        <i x="6" s="1" nd="1"/>
        <i x="3" s="1" nd="1"/>
        <i x="7" s="1" nd="1"/>
        <i x="2"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7" dT="2023-08-23T18:07:53.49" personId="{25485ED3-42D9-422C-9A77-5F76F434CCD0}" id="{E105EA63-7C78-41C4-8D8F-2A5203F081DB}">
    <text>Feasibility study to occur FY24 as opex cost. Unsure timing of eventual construction.</text>
  </threadedComment>
  <threadedComment ref="I38" dT="2023-08-23T18:07:53.49" personId="{25485ED3-42D9-422C-9A77-5F76F434CCD0}" id="{E5436728-87D0-492B-83F9-14F3FA74D779}">
    <text>Feasibility study to occur FY24 as opex cost. Unsure timing of eventual construction.</text>
  </threadedComment>
  <threadedComment ref="I39" dT="2023-08-23T18:07:59.09" personId="{25485ED3-42D9-422C-9A77-5F76F434CCD0}" id="{2718DB0D-6394-4B31-BD4D-B1D4C2924D70}">
    <text>Feasibility study to occur FY24 as opex cost. Unsure timing of eventual construction.</text>
  </threadedComment>
  <threadedComment ref="I64" dT="2024-05-29T18:21:14.88" personId="{25485ED3-42D9-422C-9A77-5F76F434CCD0}" id="{9454546E-8AD3-4052-959B-6F9F51BEA209}">
    <text>wait for HVAC project completion (both phases), FY26? (includes small stairwell section in Frist)</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46"/>
    </row>
    <row r="4" spans="2:9" ht="20.6" x14ac:dyDescent="0.55000000000000004">
      <c r="B4" s="163" t="s">
        <v>288</v>
      </c>
    </row>
    <row r="6" spans="2:9" x14ac:dyDescent="0.4">
      <c r="B6" s="22" t="s">
        <v>289</v>
      </c>
    </row>
    <row r="7" spans="2:9" x14ac:dyDescent="0.4">
      <c r="B7" s="22" t="s">
        <v>294</v>
      </c>
    </row>
    <row r="8" spans="2:9" x14ac:dyDescent="0.4">
      <c r="I8" s="146"/>
    </row>
    <row r="10" spans="2:9" x14ac:dyDescent="0.4">
      <c r="B10" s="22" t="s">
        <v>297</v>
      </c>
    </row>
    <row r="11" spans="2:9" x14ac:dyDescent="0.4">
      <c r="B11" s="22" t="s">
        <v>290</v>
      </c>
    </row>
    <row r="12" spans="2:9" x14ac:dyDescent="0.4">
      <c r="B12" s="22" t="s">
        <v>295</v>
      </c>
    </row>
    <row r="13" spans="2:9" x14ac:dyDescent="0.4">
      <c r="B13" s="22" t="s">
        <v>296</v>
      </c>
    </row>
    <row r="14" spans="2:9" x14ac:dyDescent="0.4">
      <c r="B14" s="22" t="s">
        <v>298</v>
      </c>
    </row>
    <row r="15" spans="2:9" x14ac:dyDescent="0.4">
      <c r="B15" s="22" t="s">
        <v>299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Finalized</v>
      </c>
      <c r="G4" s="11" t="str">
        <f>VLOOKUP(A4,'Project Status'!C:K,9,FALSE)</f>
        <v>Hans Mooy</v>
      </c>
      <c r="H4" s="40">
        <f>VLOOKUP(A4,'Project Status'!C:M,11,FALSE)</f>
        <v>1216485.5</v>
      </c>
      <c r="I4" s="174">
        <f>VLOOKUP(B4,'Project Status'!D:N,11,FALSE)</f>
        <v>1212084.54</v>
      </c>
    </row>
    <row r="8" spans="1:11" x14ac:dyDescent="0.4">
      <c r="E8" s="41" t="s">
        <v>124</v>
      </c>
    </row>
    <row r="9" spans="1:11" x14ac:dyDescent="0.4">
      <c r="E9" s="22" t="s">
        <v>134</v>
      </c>
      <c r="F9" s="33">
        <v>44769</v>
      </c>
      <c r="H9" s="42">
        <v>1216485.5</v>
      </c>
    </row>
    <row r="10" spans="1:11" x14ac:dyDescent="0.4">
      <c r="E10" s="22" t="s">
        <v>357</v>
      </c>
      <c r="F10" s="214" t="s">
        <v>302</v>
      </c>
      <c r="H10" s="42">
        <v>-4400.96</v>
      </c>
    </row>
    <row r="13" spans="1:11" x14ac:dyDescent="0.4">
      <c r="F13" s="10"/>
      <c r="G13" s="10"/>
      <c r="H13" s="45"/>
    </row>
    <row r="18" spans="5:8" x14ac:dyDescent="0.4">
      <c r="E18" s="136" t="s">
        <v>264</v>
      </c>
      <c r="F18" s="137"/>
      <c r="G18" s="136"/>
      <c r="H18" s="138">
        <f>SUM(H9:H17)</f>
        <v>1212084.54</v>
      </c>
    </row>
    <row r="20" spans="5:8" x14ac:dyDescent="0.4">
      <c r="E20" s="139" t="s">
        <v>136</v>
      </c>
      <c r="F20" s="139"/>
      <c r="G20" s="139"/>
      <c r="H20" s="140">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 - Phase 1</v>
      </c>
      <c r="F4" s="11" t="str">
        <f>VLOOKUP(A4,'Project Status'!C:J,8,FALSE)</f>
        <v>Construction</v>
      </c>
      <c r="G4" s="11" t="str">
        <f>VLOOKUP(A4,'Project Status'!C:K,9,FALSE)</f>
        <v>Sean Rewers</v>
      </c>
      <c r="H4" s="89">
        <f>VLOOKUP(A4,'Project Status'!C:M,11,FALSE)</f>
        <v>318057</v>
      </c>
    </row>
    <row r="8" spans="1:11" x14ac:dyDescent="0.4">
      <c r="E8" s="41" t="s">
        <v>124</v>
      </c>
    </row>
    <row r="9" spans="1:11" x14ac:dyDescent="0.4">
      <c r="E9" s="22" t="s">
        <v>215</v>
      </c>
      <c r="F9" s="33" t="s">
        <v>146</v>
      </c>
      <c r="H9" s="42">
        <v>4900</v>
      </c>
    </row>
    <row r="10" spans="1:11" x14ac:dyDescent="0.4">
      <c r="E10" s="32" t="s">
        <v>219</v>
      </c>
      <c r="F10" s="20"/>
      <c r="G10" s="20"/>
      <c r="H10" s="71">
        <v>57200</v>
      </c>
    </row>
    <row r="11" spans="1:11" x14ac:dyDescent="0.4">
      <c r="H11" s="44">
        <f>SUM(H9:H10)</f>
        <v>62100</v>
      </c>
    </row>
    <row r="12" spans="1:11" x14ac:dyDescent="0.4">
      <c r="H12" s="45"/>
    </row>
    <row r="13" spans="1:11" x14ac:dyDescent="0.4">
      <c r="E13" s="22" t="s">
        <v>325</v>
      </c>
      <c r="F13" s="33" t="s">
        <v>324</v>
      </c>
      <c r="G13" s="10"/>
      <c r="H13" s="43">
        <v>11500</v>
      </c>
    </row>
    <row r="14" spans="1:11" x14ac:dyDescent="0.4">
      <c r="E14" s="22" t="s">
        <v>357</v>
      </c>
      <c r="F14" t="s">
        <v>174</v>
      </c>
      <c r="H14" s="43">
        <v>244457</v>
      </c>
    </row>
    <row r="15" spans="1:11" x14ac:dyDescent="0.4">
      <c r="E15" s="136" t="s">
        <v>370</v>
      </c>
      <c r="F15" s="137"/>
      <c r="G15" s="136"/>
      <c r="H15" s="138">
        <f>SUM(H13:H14)</f>
        <v>255957</v>
      </c>
    </row>
    <row r="20" spans="5:8" x14ac:dyDescent="0.4">
      <c r="E20" s="139" t="s">
        <v>136</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tint="0.499984740745262"/>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2.3828125" bestFit="1" customWidth="1"/>
    <col min="7" max="7" width="13.84375" bestFit="1" customWidth="1"/>
    <col min="8" max="8" width="16.53515625" bestFit="1" customWidth="1"/>
    <col min="9" max="9" width="1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0">
        <f>VLOOKUP(A4,'Project Status'!C:M,11,FALSE)</f>
        <v>1445389</v>
      </c>
      <c r="I4" s="174">
        <f>VLOOKUP(B4,'Project Status'!D:N,11,FALSE)</f>
        <v>1352423.14</v>
      </c>
    </row>
    <row r="8" spans="1:11" x14ac:dyDescent="0.4">
      <c r="E8" s="41" t="s">
        <v>124</v>
      </c>
    </row>
    <row r="9" spans="1:11" x14ac:dyDescent="0.4">
      <c r="E9" s="22" t="s">
        <v>134</v>
      </c>
      <c r="F9" s="33">
        <v>44769</v>
      </c>
      <c r="H9" s="42">
        <v>722694.5</v>
      </c>
    </row>
    <row r="10" spans="1:11" x14ac:dyDescent="0.4">
      <c r="E10" s="32" t="s">
        <v>135</v>
      </c>
      <c r="F10" s="20"/>
      <c r="G10" s="20"/>
      <c r="H10" s="71">
        <f>H4*0.5</f>
        <v>722694.5</v>
      </c>
    </row>
    <row r="11" spans="1:11" x14ac:dyDescent="0.4">
      <c r="H11" s="44">
        <f>SUM(H9:H10)</f>
        <v>1445389</v>
      </c>
    </row>
    <row r="13" spans="1:11" x14ac:dyDescent="0.4">
      <c r="G13" s="10"/>
      <c r="H13" s="45"/>
    </row>
    <row r="18" spans="5:8" x14ac:dyDescent="0.4">
      <c r="E18" s="136" t="s">
        <v>264</v>
      </c>
      <c r="F18" s="137"/>
      <c r="G18" s="136"/>
      <c r="H18" s="138">
        <f>H9</f>
        <v>722694.5</v>
      </c>
    </row>
    <row r="20" spans="5:8" x14ac:dyDescent="0.4">
      <c r="E20" s="139" t="s">
        <v>136</v>
      </c>
      <c r="F20" s="139"/>
      <c r="G20" s="139"/>
      <c r="H20" s="140">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Finalized</v>
      </c>
      <c r="G4" s="11" t="str">
        <f>VLOOKUP(A4,'Project Status'!C:K,9,FALSE)</f>
        <v>Ben Bedock</v>
      </c>
      <c r="H4" s="40">
        <f>VLOOKUP(A4,'Project Status'!C:M,11,FALSE)</f>
        <v>327890</v>
      </c>
      <c r="I4" s="174">
        <f>VLOOKUP(B4,'Project Status'!D:N,11,FALSE)</f>
        <v>280600</v>
      </c>
    </row>
    <row r="8" spans="1:11" x14ac:dyDescent="0.4">
      <c r="E8" s="41" t="s">
        <v>124</v>
      </c>
    </row>
    <row r="9" spans="1:11" x14ac:dyDescent="0.4">
      <c r="E9" s="22" t="s">
        <v>166</v>
      </c>
      <c r="F9" s="33" t="s">
        <v>139</v>
      </c>
      <c r="H9" s="42">
        <v>12900</v>
      </c>
    </row>
    <row r="10" spans="1:11" x14ac:dyDescent="0.4">
      <c r="E10" s="22" t="s">
        <v>166</v>
      </c>
      <c r="F10" t="s">
        <v>146</v>
      </c>
      <c r="H10" s="43">
        <v>2200</v>
      </c>
    </row>
    <row r="11" spans="1:11" x14ac:dyDescent="0.4">
      <c r="E11" s="22" t="s">
        <v>215</v>
      </c>
      <c r="F11" t="s">
        <v>174</v>
      </c>
      <c r="H11" s="43">
        <v>312790</v>
      </c>
    </row>
    <row r="12" spans="1:11" x14ac:dyDescent="0.4">
      <c r="E12" s="22" t="s">
        <v>390</v>
      </c>
      <c r="F12" t="s">
        <v>302</v>
      </c>
      <c r="H12" s="42">
        <v>-47290</v>
      </c>
    </row>
    <row r="18" spans="5:8" x14ac:dyDescent="0.4">
      <c r="E18" s="136" t="s">
        <v>264</v>
      </c>
      <c r="F18" s="137"/>
      <c r="G18" s="136"/>
      <c r="H18" s="138">
        <f>SUM(H9:H17)</f>
        <v>280600</v>
      </c>
    </row>
    <row r="20" spans="5:8" x14ac:dyDescent="0.4">
      <c r="E20" s="139" t="s">
        <v>136</v>
      </c>
      <c r="F20" s="139"/>
      <c r="G20" s="139"/>
      <c r="H20" s="140">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H22" sqref="H22"/>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41" t="s">
        <v>269</v>
      </c>
    </row>
    <row r="3" spans="1:12" x14ac:dyDescent="0.4">
      <c r="A3" s="37" t="s">
        <v>125</v>
      </c>
      <c r="B3" s="36" t="s">
        <v>126</v>
      </c>
      <c r="C3" s="37" t="s">
        <v>127</v>
      </c>
      <c r="D3" s="38" t="s">
        <v>86</v>
      </c>
      <c r="E3" s="38" t="s">
        <v>87</v>
      </c>
      <c r="F3" s="37" t="s">
        <v>128</v>
      </c>
      <c r="G3" s="37" t="s">
        <v>129</v>
      </c>
      <c r="H3" s="39"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0">
        <f>VLOOKUP(A4,'Project Status'!C:M,11,FALSE)</f>
        <v>3800000</v>
      </c>
    </row>
    <row r="5" spans="1:12" x14ac:dyDescent="0.4">
      <c r="H5" s="42"/>
    </row>
    <row r="6" spans="1:12" x14ac:dyDescent="0.4">
      <c r="H6" s="42"/>
      <c r="J6" s="69">
        <v>0.75</v>
      </c>
      <c r="K6" s="69">
        <v>0.25</v>
      </c>
    </row>
    <row r="7" spans="1:12" ht="15" thickBot="1" x14ac:dyDescent="0.45">
      <c r="H7" s="42"/>
      <c r="J7" s="70" t="s">
        <v>179</v>
      </c>
      <c r="K7" s="70" t="s">
        <v>180</v>
      </c>
    </row>
    <row r="8" spans="1:12" x14ac:dyDescent="0.4">
      <c r="E8" s="41" t="s">
        <v>124</v>
      </c>
      <c r="H8" s="42"/>
    </row>
    <row r="9" spans="1:12" x14ac:dyDescent="0.4">
      <c r="E9" s="32" t="s">
        <v>181</v>
      </c>
      <c r="H9" s="66">
        <f>39900+3000+3590</f>
        <v>46490</v>
      </c>
      <c r="J9" s="43"/>
      <c r="K9" s="43"/>
    </row>
    <row r="10" spans="1:12" x14ac:dyDescent="0.4">
      <c r="E10" s="22" t="s">
        <v>175</v>
      </c>
      <c r="F10" t="s">
        <v>174</v>
      </c>
      <c r="H10" s="42">
        <f>J10</f>
        <v>937.5</v>
      </c>
      <c r="I10" s="69"/>
      <c r="J10" s="43">
        <f>L10*J6</f>
        <v>937.5</v>
      </c>
      <c r="K10" s="43">
        <f>L10*K6</f>
        <v>312.5</v>
      </c>
      <c r="L10" s="65">
        <v>1250</v>
      </c>
    </row>
    <row r="11" spans="1:12" x14ac:dyDescent="0.4">
      <c r="E11" s="22" t="s">
        <v>175</v>
      </c>
      <c r="F11" s="33" t="s">
        <v>172</v>
      </c>
      <c r="H11" s="42">
        <f>J11</f>
        <v>61425</v>
      </c>
      <c r="J11" s="43">
        <f>L11*J6</f>
        <v>61425</v>
      </c>
      <c r="K11" s="43">
        <f>L11*K6</f>
        <v>20475</v>
      </c>
      <c r="L11" s="65">
        <v>81900</v>
      </c>
    </row>
    <row r="12" spans="1:12" x14ac:dyDescent="0.4">
      <c r="E12" s="32" t="s">
        <v>182</v>
      </c>
      <c r="F12" s="33"/>
      <c r="H12" s="66">
        <f>K10+K11</f>
        <v>20787.5</v>
      </c>
      <c r="J12" s="43"/>
      <c r="K12" s="43"/>
    </row>
    <row r="13" spans="1:12" x14ac:dyDescent="0.4">
      <c r="E13" s="22" t="s">
        <v>226</v>
      </c>
      <c r="F13" t="s">
        <v>221</v>
      </c>
      <c r="H13" s="99">
        <f>J13</f>
        <v>7500</v>
      </c>
      <c r="J13" s="43">
        <f>L13*J6</f>
        <v>7500</v>
      </c>
      <c r="K13" s="43">
        <f>L13*K6</f>
        <v>2500</v>
      </c>
      <c r="L13" s="65">
        <v>10000</v>
      </c>
    </row>
    <row r="14" spans="1:12" x14ac:dyDescent="0.4">
      <c r="E14" s="32" t="s">
        <v>227</v>
      </c>
      <c r="H14" s="97">
        <f>K13</f>
        <v>2500</v>
      </c>
      <c r="J14" s="43"/>
      <c r="K14" s="43"/>
    </row>
    <row r="15" spans="1:12" x14ac:dyDescent="0.4">
      <c r="E15" s="32" t="s">
        <v>325</v>
      </c>
      <c r="F15" t="s">
        <v>326</v>
      </c>
      <c r="H15" s="97">
        <v>3660360</v>
      </c>
      <c r="J15" s="43"/>
      <c r="K15" s="43"/>
    </row>
    <row r="16" spans="1:12" x14ac:dyDescent="0.4">
      <c r="J16" s="43" t="s">
        <v>327</v>
      </c>
      <c r="K16" s="43"/>
    </row>
    <row r="17" spans="5:8" x14ac:dyDescent="0.4">
      <c r="H17" s="44">
        <f>SUM(H9:H16)</f>
        <v>3800000</v>
      </c>
    </row>
    <row r="19" spans="5:8" x14ac:dyDescent="0.4">
      <c r="F19" s="10"/>
      <c r="G19" s="10"/>
      <c r="H19" s="68"/>
    </row>
    <row r="20" spans="5:8" x14ac:dyDescent="0.4">
      <c r="E20" s="136" t="s">
        <v>264</v>
      </c>
      <c r="F20" s="137"/>
      <c r="G20" s="136"/>
      <c r="H20" s="138">
        <f>H10+H11+H13+H15</f>
        <v>3730222.5</v>
      </c>
    </row>
    <row r="22" spans="5:8" x14ac:dyDescent="0.4">
      <c r="E22" s="139" t="s">
        <v>136</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1" tint="0.499984740745262"/>
  </sheetPr>
  <dimension ref="A1:L23"/>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32.3828125" bestFit="1" customWidth="1"/>
    <col min="7" max="7" width="13.3046875" bestFit="1" customWidth="1"/>
    <col min="8" max="8" width="16.53515625" bestFit="1" customWidth="1"/>
    <col min="9" max="12" width="15" bestFit="1" customWidth="1"/>
  </cols>
  <sheetData>
    <row r="1" spans="1:12" x14ac:dyDescent="0.4">
      <c r="K1" s="141" t="s">
        <v>269</v>
      </c>
    </row>
    <row r="3" spans="1:12" x14ac:dyDescent="0.4">
      <c r="A3" s="37" t="s">
        <v>125</v>
      </c>
      <c r="B3" s="36" t="s">
        <v>126</v>
      </c>
      <c r="C3" s="37" t="s">
        <v>127</v>
      </c>
      <c r="D3" s="38" t="s">
        <v>86</v>
      </c>
      <c r="E3" s="38" t="s">
        <v>87</v>
      </c>
      <c r="F3" s="37" t="s">
        <v>128</v>
      </c>
      <c r="G3" s="37" t="s">
        <v>129</v>
      </c>
      <c r="H3" s="39" t="s">
        <v>130</v>
      </c>
      <c r="I3" s="173" t="s">
        <v>300</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0">
        <f>VLOOKUP(A4,'Project Status'!C:M,11,FALSE)</f>
        <v>2790000</v>
      </c>
      <c r="I4" s="174">
        <f>VLOOKUP(B4,'Project Status'!D:N,11,FALSE)</f>
        <v>2776273.72</v>
      </c>
    </row>
    <row r="5" spans="1:12" x14ac:dyDescent="0.4">
      <c r="H5" s="42"/>
    </row>
    <row r="6" spans="1:12" x14ac:dyDescent="0.4">
      <c r="H6" s="42"/>
      <c r="J6" s="69"/>
      <c r="K6" s="69"/>
    </row>
    <row r="7" spans="1:12" ht="15" thickBot="1" x14ac:dyDescent="0.45">
      <c r="H7" s="42"/>
      <c r="J7" s="70" t="s">
        <v>179</v>
      </c>
      <c r="K7" s="70" t="s">
        <v>120</v>
      </c>
    </row>
    <row r="8" spans="1:12" x14ac:dyDescent="0.4">
      <c r="E8" s="41" t="s">
        <v>124</v>
      </c>
      <c r="H8" s="42"/>
    </row>
    <row r="9" spans="1:12" x14ac:dyDescent="0.4">
      <c r="E9" t="s">
        <v>238</v>
      </c>
      <c r="F9" t="s">
        <v>139</v>
      </c>
      <c r="H9" s="42">
        <f>J9</f>
        <v>12100</v>
      </c>
      <c r="J9" s="43">
        <v>12100</v>
      </c>
      <c r="K9" s="43">
        <v>6900</v>
      </c>
      <c r="L9" s="65">
        <v>19000</v>
      </c>
    </row>
    <row r="10" spans="1:12" x14ac:dyDescent="0.4">
      <c r="E10" s="32" t="s">
        <v>239</v>
      </c>
      <c r="F10" s="33"/>
      <c r="H10" s="66">
        <f>K9</f>
        <v>6900</v>
      </c>
      <c r="I10" s="69"/>
      <c r="J10" s="43"/>
      <c r="K10" s="43"/>
    </row>
    <row r="11" spans="1:12" x14ac:dyDescent="0.4">
      <c r="E11" s="147" t="s">
        <v>265</v>
      </c>
      <c r="F11" t="s">
        <v>214</v>
      </c>
      <c r="H11" s="42">
        <v>69000</v>
      </c>
      <c r="J11" s="43">
        <v>69000</v>
      </c>
      <c r="K11" s="43">
        <v>32500</v>
      </c>
      <c r="L11" s="65">
        <v>101500</v>
      </c>
    </row>
    <row r="12" spans="1:12" x14ac:dyDescent="0.4">
      <c r="E12" s="32" t="s">
        <v>239</v>
      </c>
      <c r="H12" s="97">
        <v>32500</v>
      </c>
      <c r="J12" s="43"/>
      <c r="K12" s="43"/>
    </row>
    <row r="13" spans="1:12" x14ac:dyDescent="0.4">
      <c r="E13" s="147" t="s">
        <v>314</v>
      </c>
      <c r="F13" t="s">
        <v>146</v>
      </c>
      <c r="H13" s="99">
        <f>SUM(1110000-H11-H9)</f>
        <v>1028900</v>
      </c>
      <c r="J13" s="42">
        <v>1028900</v>
      </c>
      <c r="K13" s="42">
        <v>1640600</v>
      </c>
      <c r="L13" s="65">
        <f>SUM(J13:K13)</f>
        <v>2669500</v>
      </c>
    </row>
    <row r="14" spans="1:12" x14ac:dyDescent="0.4">
      <c r="E14" s="32" t="s">
        <v>281</v>
      </c>
      <c r="H14" s="97">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264</v>
      </c>
      <c r="F18" s="137"/>
      <c r="G18" s="136"/>
      <c r="H18" s="138">
        <f>H9+H11+H13</f>
        <v>1110000</v>
      </c>
    </row>
    <row r="20" spans="5:8" x14ac:dyDescent="0.4">
      <c r="E20" s="139" t="s">
        <v>136</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15234375" bestFit="1" customWidth="1"/>
    <col min="7" max="7" width="11" bestFit="1" customWidth="1"/>
    <col min="8" max="8" width="16.53515625" bestFit="1" customWidth="1"/>
    <col min="10" max="12" width="11.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Status'!C:J,8,FALSE)</f>
        <v>Not Started</v>
      </c>
      <c r="G4" s="11" t="str">
        <f>VLOOKUP(A4,'Project Status'!C:K,9,FALSE)</f>
        <v>Hans Mooy</v>
      </c>
      <c r="H4" s="40">
        <f>VLOOKUP(A4,'Project Status'!C:M,11,FALSE)</f>
        <v>26500</v>
      </c>
    </row>
    <row r="5" spans="1:11" x14ac:dyDescent="0.4">
      <c r="H5" s="42"/>
    </row>
    <row r="6" spans="1:11" x14ac:dyDescent="0.4">
      <c r="H6" s="42"/>
      <c r="J6" s="69"/>
      <c r="K6" s="69"/>
    </row>
    <row r="7" spans="1:11" x14ac:dyDescent="0.4">
      <c r="H7" s="42"/>
    </row>
    <row r="8" spans="1:11" x14ac:dyDescent="0.4">
      <c r="E8" s="41" t="s">
        <v>124</v>
      </c>
      <c r="H8" s="42"/>
    </row>
    <row r="9" spans="1:11" x14ac:dyDescent="0.4">
      <c r="E9" t="s">
        <v>238</v>
      </c>
      <c r="F9" t="s">
        <v>139</v>
      </c>
      <c r="H9" s="42">
        <v>26500</v>
      </c>
    </row>
    <row r="10" spans="1:11" x14ac:dyDescent="0.4">
      <c r="E10" s="22"/>
      <c r="F10" s="33"/>
      <c r="H10" s="42"/>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264</v>
      </c>
      <c r="F18" s="137"/>
      <c r="G18" s="136"/>
      <c r="H18" s="138">
        <f>SUM(H9:H17)</f>
        <v>26500</v>
      </c>
    </row>
    <row r="20" spans="5:8" x14ac:dyDescent="0.4">
      <c r="E20" s="139" t="s">
        <v>136</v>
      </c>
      <c r="F20" s="139"/>
      <c r="G20" s="139"/>
      <c r="H20" s="140">
        <f>H4-H18</f>
        <v>0</v>
      </c>
    </row>
  </sheetData>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0">
        <f>VLOOKUP(A4,'Project Status'!C:M,11,FALSE)</f>
        <v>456850</v>
      </c>
      <c r="I4" s="174">
        <f>VLOOKUP(B4,'Project Status'!D:N,11,FALSE)</f>
        <v>412000</v>
      </c>
    </row>
    <row r="8" spans="1:11" x14ac:dyDescent="0.4">
      <c r="E8" s="41" t="s">
        <v>124</v>
      </c>
    </row>
    <row r="9" spans="1:11" x14ac:dyDescent="0.4">
      <c r="E9" s="22" t="s">
        <v>134</v>
      </c>
      <c r="F9" s="210">
        <v>44769</v>
      </c>
      <c r="H9" s="42">
        <v>79415.5</v>
      </c>
    </row>
    <row r="10" spans="1:11" x14ac:dyDescent="0.4">
      <c r="E10" s="32" t="s">
        <v>137</v>
      </c>
      <c r="F10" s="20"/>
      <c r="G10" s="20"/>
      <c r="H10" s="71">
        <f>372434.5+5000</f>
        <v>377434.5</v>
      </c>
    </row>
    <row r="11" spans="1:11" x14ac:dyDescent="0.4">
      <c r="E11" s="22" t="s">
        <v>336</v>
      </c>
      <c r="F11" t="s">
        <v>302</v>
      </c>
      <c r="H11" s="42">
        <v>-44850</v>
      </c>
    </row>
    <row r="18" spans="5:8" x14ac:dyDescent="0.4">
      <c r="E18" s="136" t="s">
        <v>264</v>
      </c>
      <c r="F18" s="137"/>
      <c r="G18" s="136"/>
      <c r="H18" s="138">
        <f>SUM(H9:H17)</f>
        <v>412000</v>
      </c>
    </row>
    <row r="20" spans="5:8" x14ac:dyDescent="0.4">
      <c r="E20" s="139" t="s">
        <v>136</v>
      </c>
      <c r="F20" s="139"/>
      <c r="G20" s="139"/>
      <c r="H20" s="140">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89">
        <f>VLOOKUP(A4,'Project Status'!C:M,11,FALSE)</f>
        <v>344155.26</v>
      </c>
      <c r="I4" s="174">
        <f>VLOOKUP(B4,'Project Status'!D:N,11,FALSE)</f>
        <v>307776.26</v>
      </c>
    </row>
    <row r="8" spans="1:11" x14ac:dyDescent="0.4">
      <c r="E8" s="41" t="s">
        <v>124</v>
      </c>
    </row>
    <row r="9" spans="1:11" x14ac:dyDescent="0.4">
      <c r="E9" s="22" t="s">
        <v>265</v>
      </c>
      <c r="F9" s="33" t="s">
        <v>139</v>
      </c>
      <c r="H9" s="42">
        <v>344155.26</v>
      </c>
    </row>
    <row r="10" spans="1:11" x14ac:dyDescent="0.4">
      <c r="E10" s="22" t="s">
        <v>336</v>
      </c>
      <c r="F10" t="s">
        <v>302</v>
      </c>
      <c r="H10" s="42">
        <v>-36379</v>
      </c>
    </row>
    <row r="12" spans="1:11" x14ac:dyDescent="0.4">
      <c r="E12" s="22"/>
    </row>
    <row r="13" spans="1:11" x14ac:dyDescent="0.4">
      <c r="E13" s="22"/>
      <c r="F13" s="10"/>
      <c r="G13" s="10"/>
      <c r="H13" s="45"/>
    </row>
    <row r="14" spans="1:11" x14ac:dyDescent="0.4">
      <c r="E14" s="22"/>
    </row>
    <row r="18" spans="5:8" x14ac:dyDescent="0.4">
      <c r="E18" s="136" t="s">
        <v>264</v>
      </c>
      <c r="F18" s="137"/>
      <c r="G18" s="136"/>
      <c r="H18" s="138">
        <f>SUM(H9:H17)</f>
        <v>307776.26</v>
      </c>
    </row>
    <row r="20" spans="5:8" x14ac:dyDescent="0.4">
      <c r="E20" s="139" t="s">
        <v>136</v>
      </c>
      <c r="F20" s="139"/>
      <c r="G20" s="139"/>
      <c r="H20" s="140">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Finalized</v>
      </c>
      <c r="G4" s="11" t="str">
        <f>VLOOKUP(A4,'Project Status'!C:K,9,FALSE)</f>
        <v>Sean Rewers</v>
      </c>
      <c r="H4" s="89">
        <f>VLOOKUP(A4,'Project Status'!C:M,11,FALSE)</f>
        <v>405791</v>
      </c>
      <c r="I4" s="174">
        <f>VLOOKUP(B4,'Project Status'!D:N,11,FALSE)</f>
        <v>362559.64</v>
      </c>
    </row>
    <row r="8" spans="1:11" x14ac:dyDescent="0.4">
      <c r="E8" s="41" t="s">
        <v>124</v>
      </c>
    </row>
    <row r="9" spans="1:11" x14ac:dyDescent="0.4">
      <c r="E9" s="22" t="s">
        <v>231</v>
      </c>
      <c r="F9" s="33" t="s">
        <v>139</v>
      </c>
      <c r="H9" s="42">
        <v>405791</v>
      </c>
    </row>
    <row r="10" spans="1:11" x14ac:dyDescent="0.4">
      <c r="E10" s="22" t="s">
        <v>390</v>
      </c>
      <c r="F10" t="s">
        <v>302</v>
      </c>
      <c r="H10" s="42">
        <v>-43231.360000000001</v>
      </c>
    </row>
    <row r="13" spans="1:11" x14ac:dyDescent="0.4">
      <c r="F13" s="10"/>
      <c r="G13" s="10"/>
      <c r="H13" s="45"/>
    </row>
    <row r="18" spans="5:8" x14ac:dyDescent="0.4">
      <c r="E18" s="136" t="s">
        <v>264</v>
      </c>
      <c r="F18" s="137"/>
      <c r="G18" s="136"/>
      <c r="H18" s="138">
        <f>SUM(H9:H17)</f>
        <v>362559.64</v>
      </c>
    </row>
    <row r="20" spans="5:8" x14ac:dyDescent="0.4">
      <c r="E20" s="139" t="s">
        <v>136</v>
      </c>
      <c r="F20" s="139"/>
      <c r="G20" s="139"/>
      <c r="H20" s="140">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19"/>
  <sheetViews>
    <sheetView zoomScaleNormal="100" workbookViewId="0">
      <selection activeCell="B2" sqref="B2"/>
    </sheetView>
  </sheetViews>
  <sheetFormatPr defaultRowHeight="14.6" x14ac:dyDescent="0.4"/>
  <cols>
    <col min="1" max="1" width="19.84375" customWidth="1"/>
    <col min="2" max="2" width="12.53515625" customWidth="1"/>
    <col min="3" max="7" width="15.3828125" customWidth="1"/>
  </cols>
  <sheetData>
    <row r="1" spans="1:12" s="8" customFormat="1" x14ac:dyDescent="0.4">
      <c r="A1" s="10" t="s">
        <v>189</v>
      </c>
      <c r="B1"/>
      <c r="C1"/>
      <c r="D1"/>
      <c r="E1"/>
      <c r="F1"/>
      <c r="G1"/>
    </row>
    <row r="2" spans="1:12" s="8" customFormat="1" x14ac:dyDescent="0.4">
      <c r="A2" s="86" t="s">
        <v>112</v>
      </c>
      <c r="B2" s="85">
        <v>45510</v>
      </c>
      <c r="C2"/>
      <c r="D2"/>
      <c r="E2"/>
      <c r="F2"/>
      <c r="G2"/>
    </row>
    <row r="4" spans="1:12" x14ac:dyDescent="0.4">
      <c r="A4" s="10"/>
      <c r="D4" s="61"/>
      <c r="E4" s="61"/>
      <c r="F4" s="61"/>
    </row>
    <row r="5" spans="1:12" ht="43.75" x14ac:dyDescent="0.4">
      <c r="A5" s="23" t="s">
        <v>86</v>
      </c>
      <c r="B5" s="60" t="s">
        <v>99</v>
      </c>
      <c r="C5" s="117" t="s">
        <v>457</v>
      </c>
      <c r="D5" s="27" t="s">
        <v>454</v>
      </c>
      <c r="E5" s="28" t="s">
        <v>455</v>
      </c>
      <c r="F5" s="243" t="s">
        <v>458</v>
      </c>
      <c r="G5" s="118" t="s">
        <v>372</v>
      </c>
    </row>
    <row r="6" spans="1:12" x14ac:dyDescent="0.4">
      <c r="A6" t="s">
        <v>194</v>
      </c>
      <c r="B6" s="21">
        <f>Contributions!B5</f>
        <v>1075461.7320675128</v>
      </c>
      <c r="C6" s="251">
        <f>Contributions!C5+Contributions!G5+Contributions!K5</f>
        <v>12747868.730959009</v>
      </c>
      <c r="D6" s="249">
        <f>'Shared Building Allocation'!F5*1000000</f>
        <v>2276289.625</v>
      </c>
      <c r="E6" s="247">
        <f>'Shared Building Allocation'!K5*1000000</f>
        <v>2619344.7040000004</v>
      </c>
      <c r="F6" s="245">
        <f>'Shared Building Allocation'!P5*1000000</f>
        <v>538825</v>
      </c>
      <c r="G6" s="120">
        <f>C6-D6-E6-F6</f>
        <v>7313409.4019590095</v>
      </c>
      <c r="I6" s="179"/>
      <c r="J6" s="179"/>
      <c r="K6" s="179"/>
      <c r="L6" s="179"/>
    </row>
    <row r="7" spans="1:12" x14ac:dyDescent="0.4">
      <c r="A7" t="s">
        <v>196</v>
      </c>
      <c r="B7" s="21">
        <f>Contributions!B6</f>
        <v>121421.42689276834</v>
      </c>
      <c r="C7" s="252">
        <f>Contributions!C6+Contributions!G6+Contributions!K6</f>
        <v>1496829.281796532</v>
      </c>
      <c r="D7" s="250">
        <f>'Shared Building Allocation'!F6*1000000</f>
        <v>574290</v>
      </c>
      <c r="E7" s="248">
        <f>'Shared Building Allocation'!K6*1000000</f>
        <v>1916810</v>
      </c>
      <c r="F7" s="246">
        <f>'Shared Building Allocation'!P6*1000000</f>
        <v>1300000</v>
      </c>
      <c r="G7" s="121">
        <f t="shared" ref="G7:G14" si="0">C7-D7-E7-F7</f>
        <v>-2294270.7182034682</v>
      </c>
      <c r="I7" s="179"/>
      <c r="J7" s="179"/>
      <c r="K7" s="179"/>
      <c r="L7" s="179"/>
    </row>
    <row r="8" spans="1:12" x14ac:dyDescent="0.4">
      <c r="A8" t="s">
        <v>197</v>
      </c>
      <c r="B8" s="21">
        <f>Contributions!B7</f>
        <v>57814.730923479161</v>
      </c>
      <c r="C8" s="252">
        <f>Contributions!C7+Contributions!G7+Contributions!K7</f>
        <v>692779.00378588098</v>
      </c>
      <c r="D8" s="250">
        <f>'Shared Building Allocation'!F7*1000000</f>
        <v>96362.5</v>
      </c>
      <c r="E8" s="248">
        <f>'Shared Building Allocation'!K7*1000000</f>
        <v>3660360</v>
      </c>
      <c r="F8" s="246">
        <f>'Shared Building Allocation'!P7*1000000</f>
        <v>0</v>
      </c>
      <c r="G8" s="121">
        <f t="shared" si="0"/>
        <v>-3063943.4962141188</v>
      </c>
      <c r="I8" s="179"/>
      <c r="J8" s="179"/>
      <c r="K8" s="179"/>
      <c r="L8" s="179"/>
    </row>
    <row r="9" spans="1:12" x14ac:dyDescent="0.4">
      <c r="A9" t="s">
        <v>198</v>
      </c>
      <c r="B9" s="21">
        <f>Contributions!B8</f>
        <v>537962.332719445</v>
      </c>
      <c r="C9" s="252">
        <f>Contributions!C8+Contributions!G8+Contributions!K8</f>
        <v>6515613.1942513157</v>
      </c>
      <c r="D9" s="250">
        <f>'Shared Building Allocation'!F8*1000000</f>
        <v>353000</v>
      </c>
      <c r="E9" s="248">
        <f>'Shared Building Allocation'!K8*1000000</f>
        <v>24933</v>
      </c>
      <c r="F9" s="246">
        <f>'Shared Building Allocation'!P8*1000000</f>
        <v>0</v>
      </c>
      <c r="G9" s="121">
        <f t="shared" si="0"/>
        <v>6137680.1942513157</v>
      </c>
      <c r="I9" s="179"/>
      <c r="J9" s="179"/>
      <c r="K9" s="179"/>
      <c r="L9" s="179"/>
    </row>
    <row r="10" spans="1:12" x14ac:dyDescent="0.4">
      <c r="A10" t="s">
        <v>199</v>
      </c>
      <c r="B10" s="21">
        <f>Contributions!B9</f>
        <v>120155.48460329951</v>
      </c>
      <c r="C10" s="252">
        <f>Contributions!C9+Contributions!G9+Contributions!K9</f>
        <v>1427819.0630692691</v>
      </c>
      <c r="D10" s="250">
        <f>'Shared Building Allocation'!F9*1000000</f>
        <v>1206134.5</v>
      </c>
      <c r="E10" s="248">
        <f>'Shared Building Allocation'!K9*1000000</f>
        <v>661160</v>
      </c>
      <c r="F10" s="246">
        <f>'Shared Building Allocation'!P9*1000000</f>
        <v>0</v>
      </c>
      <c r="G10" s="121">
        <f t="shared" si="0"/>
        <v>-439475.43693073094</v>
      </c>
      <c r="I10" s="179"/>
      <c r="J10" s="179"/>
      <c r="K10" s="179"/>
      <c r="L10" s="179"/>
    </row>
    <row r="11" spans="1:12" x14ac:dyDescent="0.4">
      <c r="A11" t="s">
        <v>201</v>
      </c>
      <c r="B11" s="21">
        <f>Contributions!B10</f>
        <v>280022.39987629937</v>
      </c>
      <c r="C11" s="252">
        <f>Contributions!C10+Contributions!G10+Contributions!K10</f>
        <v>3441675.5551475156</v>
      </c>
      <c r="D11" s="250">
        <f>'Shared Building Allocation'!F10*1000000</f>
        <v>1036871.8750000001</v>
      </c>
      <c r="E11" s="248">
        <f>'Shared Building Allocation'!K10*1000000</f>
        <v>-17509.674000000003</v>
      </c>
      <c r="F11" s="246">
        <f>'Shared Building Allocation'!P10*1000000</f>
        <v>1000675.0000000002</v>
      </c>
      <c r="G11" s="121">
        <f t="shared" si="0"/>
        <v>1421638.3541475155</v>
      </c>
      <c r="I11" s="179"/>
      <c r="J11" s="179"/>
      <c r="K11" s="179"/>
      <c r="L11" s="179"/>
    </row>
    <row r="12" spans="1:12" x14ac:dyDescent="0.4">
      <c r="A12" t="s">
        <v>200</v>
      </c>
      <c r="B12" s="21">
        <f>Contributions!B11</f>
        <v>106166.70000000001</v>
      </c>
      <c r="C12" s="252">
        <f>Contributions!C11+Contributions!G11+Contributions!K11</f>
        <v>1261583.3214</v>
      </c>
      <c r="D12" s="250">
        <f>'Shared Building Allocation'!F11*1000000</f>
        <v>4900</v>
      </c>
      <c r="E12" s="248">
        <f>'Shared Building Allocation'!K11*1000000</f>
        <v>286527</v>
      </c>
      <c r="F12" s="246">
        <f>'Shared Building Allocation'!P11*1000000</f>
        <v>0</v>
      </c>
      <c r="G12" s="121">
        <f t="shared" si="0"/>
        <v>970156.32140000002</v>
      </c>
      <c r="I12" s="179"/>
      <c r="J12" s="179"/>
      <c r="K12" s="179"/>
      <c r="L12" s="179"/>
    </row>
    <row r="13" spans="1:12" x14ac:dyDescent="0.4">
      <c r="A13" t="s">
        <v>195</v>
      </c>
      <c r="B13" s="21">
        <f>Contributions!B12</f>
        <v>59008.361666666671</v>
      </c>
      <c r="C13" s="252">
        <f>Contributions!C12+Contributions!G12+Contributions!K12</f>
        <v>1046789.5035213984</v>
      </c>
      <c r="D13" s="250">
        <f>'Shared Building Allocation'!F12*1000000</f>
        <v>300000</v>
      </c>
      <c r="E13" s="248">
        <f>'Shared Building Allocation'!K12*1000000</f>
        <v>1576500</v>
      </c>
      <c r="F13" s="246">
        <f>'Shared Building Allocation'!P12*1000000</f>
        <v>1600000</v>
      </c>
      <c r="G13" s="121">
        <f t="shared" si="0"/>
        <v>-2429710.4964786014</v>
      </c>
      <c r="I13" s="179"/>
      <c r="J13" s="179"/>
      <c r="K13" s="179"/>
      <c r="L13" s="179"/>
    </row>
    <row r="14" spans="1:12" x14ac:dyDescent="0.4">
      <c r="A14" t="s">
        <v>202</v>
      </c>
      <c r="B14" s="21">
        <f>Contributions!B13</f>
        <v>390796.88477064227</v>
      </c>
      <c r="C14" s="252">
        <f>Contributions!C13+Contributions!G13+Contributions!K13</f>
        <v>4620109.0983343218</v>
      </c>
      <c r="D14" s="250">
        <f>'Shared Building Allocation'!F13*1000000</f>
        <v>2949437.76</v>
      </c>
      <c r="E14" s="248">
        <f>'Shared Building Allocation'!K13*1000000</f>
        <v>600347.91</v>
      </c>
      <c r="F14" s="246">
        <f>'Shared Building Allocation'!P13*1000000</f>
        <v>0</v>
      </c>
      <c r="G14" s="121">
        <f t="shared" si="0"/>
        <v>1070323.4283343218</v>
      </c>
      <c r="I14" s="179"/>
      <c r="J14" s="179"/>
      <c r="K14" s="179"/>
      <c r="L14" s="179"/>
    </row>
    <row r="15" spans="1:12" x14ac:dyDescent="0.4">
      <c r="A15" s="24"/>
      <c r="B15" s="24">
        <v>2748810.0535201132</v>
      </c>
      <c r="C15" s="58">
        <f>SUM(C6:C14)</f>
        <v>33251066.752265237</v>
      </c>
      <c r="D15" s="57">
        <f>SUM(D6:D14)</f>
        <v>8797286.2599999998</v>
      </c>
      <c r="E15" s="56">
        <f>SUM(E6:E14)</f>
        <v>11328472.939999999</v>
      </c>
      <c r="F15" s="244">
        <f>SUM(F6:F14)</f>
        <v>4439500</v>
      </c>
      <c r="G15" s="119">
        <f>SUM(G6:G14)</f>
        <v>8685807.5522652417</v>
      </c>
      <c r="I15" s="179"/>
      <c r="J15" s="179"/>
      <c r="K15" s="179"/>
      <c r="L15" s="179"/>
    </row>
    <row r="16" spans="1:12" x14ac:dyDescent="0.4">
      <c r="A16" s="26"/>
    </row>
    <row r="17" spans="1:7" x14ac:dyDescent="0.4">
      <c r="A17" s="20"/>
      <c r="B17" s="20"/>
      <c r="C17" s="175"/>
    </row>
    <row r="18" spans="1:7" x14ac:dyDescent="0.4">
      <c r="C18" s="35"/>
      <c r="D18" s="35"/>
      <c r="E18" s="35"/>
      <c r="F18" s="35"/>
      <c r="G18" s="35"/>
    </row>
    <row r="19" spans="1:7" x14ac:dyDescent="0.4">
      <c r="D19" s="35"/>
      <c r="E19" s="35"/>
      <c r="F19" s="35"/>
      <c r="G19" s="43"/>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Finalized</v>
      </c>
      <c r="G4" s="11" t="str">
        <f>VLOOKUP(A4,'Project Status'!C:K,9,FALSE)</f>
        <v>Ben Bedock</v>
      </c>
      <c r="H4" s="40">
        <f>VLOOKUP(A4,'Project Status'!C:M,11,FALSE)</f>
        <v>781870</v>
      </c>
      <c r="I4" s="174">
        <f>VLOOKUP(B4,'Project Status'!D:N,11,FALSE)</f>
        <v>722586.68</v>
      </c>
    </row>
    <row r="8" spans="1:11" x14ac:dyDescent="0.4">
      <c r="E8" s="41" t="s">
        <v>124</v>
      </c>
    </row>
    <row r="9" spans="1:11" x14ac:dyDescent="0.4">
      <c r="E9" s="22" t="s">
        <v>166</v>
      </c>
      <c r="F9" s="33" t="s">
        <v>139</v>
      </c>
      <c r="H9" s="98">
        <v>17050</v>
      </c>
    </row>
    <row r="10" spans="1:11" x14ac:dyDescent="0.4">
      <c r="E10" s="22" t="s">
        <v>226</v>
      </c>
      <c r="F10" t="s">
        <v>214</v>
      </c>
      <c r="H10" s="43">
        <v>764820</v>
      </c>
    </row>
    <row r="11" spans="1:11" x14ac:dyDescent="0.4">
      <c r="E11" s="22" t="s">
        <v>373</v>
      </c>
      <c r="F11" t="s">
        <v>385</v>
      </c>
      <c r="H11" s="43">
        <v>-59283.32</v>
      </c>
    </row>
    <row r="18" spans="5:8" x14ac:dyDescent="0.4">
      <c r="E18" s="136" t="s">
        <v>264</v>
      </c>
      <c r="F18" s="137"/>
      <c r="G18" s="136"/>
      <c r="H18" s="138">
        <f>SUM(H9:H17)</f>
        <v>722586.68</v>
      </c>
    </row>
    <row r="20" spans="5:8" x14ac:dyDescent="0.4">
      <c r="E20" s="139" t="s">
        <v>136</v>
      </c>
      <c r="F20" s="139"/>
      <c r="G20" s="139"/>
      <c r="H20" s="140">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828125" bestFit="1" customWidth="1"/>
    <col min="7" max="7" width="11.3046875" bestFit="1" customWidth="1"/>
    <col min="8" max="8" width="16.53515625" bestFit="1" customWidth="1"/>
    <col min="9" max="9" width="1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Finalized</v>
      </c>
      <c r="G4" s="11" t="str">
        <f>VLOOKUP(A4,'Project Status'!C:K,9,FALSE)</f>
        <v>Ben Bedock</v>
      </c>
      <c r="H4" s="40">
        <f>VLOOKUP(A4,'Project Status'!C:M,11,FALSE)</f>
        <v>1232681</v>
      </c>
      <c r="I4" s="174">
        <f>VLOOKUP(B4,'Project Status'!D:N,11,FALSE)</f>
        <v>1113460</v>
      </c>
    </row>
    <row r="8" spans="1:11" x14ac:dyDescent="0.4">
      <c r="E8" s="41" t="s">
        <v>124</v>
      </c>
    </row>
    <row r="9" spans="1:11" x14ac:dyDescent="0.4">
      <c r="E9" t="s">
        <v>238</v>
      </c>
      <c r="F9" s="33" t="s">
        <v>139</v>
      </c>
      <c r="H9" s="42">
        <v>1232681</v>
      </c>
    </row>
    <row r="10" spans="1:11" x14ac:dyDescent="0.4">
      <c r="E10" s="22" t="s">
        <v>390</v>
      </c>
      <c r="F10" t="s">
        <v>302</v>
      </c>
      <c r="H10" s="42">
        <v>-119221</v>
      </c>
    </row>
    <row r="13" spans="1:11" x14ac:dyDescent="0.4">
      <c r="F13" s="10"/>
      <c r="G13" s="10"/>
      <c r="H13" s="45"/>
    </row>
    <row r="18" spans="5:8" x14ac:dyDescent="0.4">
      <c r="E18" s="136" t="s">
        <v>264</v>
      </c>
      <c r="F18" s="137"/>
      <c r="G18" s="136"/>
      <c r="H18" s="138">
        <f>SUM(H9:H17)</f>
        <v>1113460</v>
      </c>
    </row>
    <row r="20" spans="5:8" x14ac:dyDescent="0.4">
      <c r="E20" s="139" t="s">
        <v>136</v>
      </c>
      <c r="F20" s="139"/>
      <c r="G20" s="139"/>
      <c r="H20" s="140">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Finalized</v>
      </c>
      <c r="G4" s="11" t="str">
        <f>VLOOKUP(A4,'Project Status'!C:K,9,FALSE)</f>
        <v>Sean Rewers</v>
      </c>
      <c r="H4" s="40">
        <f>VLOOKUP(A4,'Project Status'!C:M,11,FALSE)</f>
        <v>218202</v>
      </c>
      <c r="I4" s="174">
        <f>VLOOKUP(B4,'Project Status'!D:N,11,FALSE)</f>
        <v>195665</v>
      </c>
    </row>
    <row r="8" spans="1:11" x14ac:dyDescent="0.4">
      <c r="E8" s="41" t="s">
        <v>124</v>
      </c>
    </row>
    <row r="9" spans="1:11" x14ac:dyDescent="0.4">
      <c r="E9" s="22" t="s">
        <v>215</v>
      </c>
      <c r="F9" s="33" t="s">
        <v>139</v>
      </c>
      <c r="H9" s="42">
        <v>218202</v>
      </c>
    </row>
    <row r="10" spans="1:11" x14ac:dyDescent="0.4">
      <c r="E10" s="22" t="s">
        <v>390</v>
      </c>
      <c r="F10" t="s">
        <v>302</v>
      </c>
      <c r="H10" s="42">
        <v>-22537</v>
      </c>
    </row>
    <row r="18" spans="5:8" x14ac:dyDescent="0.4">
      <c r="E18" s="136" t="s">
        <v>264</v>
      </c>
      <c r="F18" s="137"/>
      <c r="G18" s="136"/>
      <c r="H18" s="138">
        <f>SUM(H9:H17)</f>
        <v>195665</v>
      </c>
    </row>
    <row r="20" spans="5:8" x14ac:dyDescent="0.4">
      <c r="E20" s="139" t="s">
        <v>136</v>
      </c>
      <c r="F20" s="139"/>
      <c r="G20" s="139"/>
      <c r="H20" s="140">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-Phase 1 - FY25</v>
      </c>
      <c r="F4" s="11" t="str">
        <f>VLOOKUP(A4,'Project Status'!C:J,8,FALSE)</f>
        <v>Award</v>
      </c>
      <c r="G4" s="11" t="str">
        <f>VLOOKUP(A4,'Project Status'!C:K,9,FALSE)</f>
        <v>Hans Mooy</v>
      </c>
      <c r="H4" s="40">
        <f>VLOOKUP(A4,'Project Status'!C:M,11,FALSE)</f>
        <v>223000</v>
      </c>
    </row>
    <row r="8" spans="1:11" x14ac:dyDescent="0.4">
      <c r="E8" s="41" t="s">
        <v>124</v>
      </c>
    </row>
    <row r="9" spans="1:11" x14ac:dyDescent="0.4">
      <c r="E9" s="22" t="s">
        <v>166</v>
      </c>
      <c r="F9" s="33" t="s">
        <v>139</v>
      </c>
      <c r="H9" s="42">
        <v>53750</v>
      </c>
    </row>
    <row r="10" spans="1:11" x14ac:dyDescent="0.4">
      <c r="E10" s="22" t="s">
        <v>231</v>
      </c>
      <c r="F10" t="s">
        <v>214</v>
      </c>
      <c r="H10" s="43">
        <v>169250</v>
      </c>
    </row>
    <row r="18" spans="5:8" x14ac:dyDescent="0.4">
      <c r="E18" s="136" t="s">
        <v>264</v>
      </c>
      <c r="F18" s="137"/>
      <c r="G18" s="136"/>
      <c r="H18" s="138">
        <f>SUM(H9:H17)</f>
        <v>223000</v>
      </c>
    </row>
    <row r="20" spans="5:8" x14ac:dyDescent="0.4">
      <c r="E20" s="139" t="s">
        <v>136</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Finalized</v>
      </c>
      <c r="G4" s="11" t="str">
        <f>VLOOKUP(A4,'Project Status'!C:K,9,FALSE)</f>
        <v>Ben Bedock</v>
      </c>
      <c r="H4" s="89">
        <f>VLOOKUP(A4,'Project Status'!C:M,11,FALSE)</f>
        <v>630554</v>
      </c>
      <c r="I4" s="174">
        <f>VLOOKUP(B4,'Project Status'!D:N,11,FALSE)</f>
        <v>571789</v>
      </c>
    </row>
    <row r="8" spans="1:11" x14ac:dyDescent="0.4">
      <c r="E8" s="41" t="s">
        <v>124</v>
      </c>
    </row>
    <row r="9" spans="1:11" x14ac:dyDescent="0.4">
      <c r="E9" s="22" t="s">
        <v>226</v>
      </c>
      <c r="F9" s="33" t="s">
        <v>139</v>
      </c>
      <c r="H9" s="98">
        <v>2050</v>
      </c>
    </row>
    <row r="10" spans="1:11" x14ac:dyDescent="0.4">
      <c r="E10" s="22" t="s">
        <v>249</v>
      </c>
      <c r="F10" t="s">
        <v>214</v>
      </c>
      <c r="H10" s="42">
        <v>628504</v>
      </c>
    </row>
    <row r="11" spans="1:11" x14ac:dyDescent="0.4">
      <c r="E11" s="22" t="s">
        <v>390</v>
      </c>
      <c r="F11" t="s">
        <v>302</v>
      </c>
      <c r="H11" s="42">
        <v>-58765</v>
      </c>
    </row>
    <row r="18" spans="5:8" x14ac:dyDescent="0.4">
      <c r="E18" s="136" t="s">
        <v>264</v>
      </c>
      <c r="F18" s="137"/>
      <c r="G18" s="136"/>
      <c r="H18" s="138">
        <f>SUM(H9:H17)</f>
        <v>571789</v>
      </c>
    </row>
    <row r="20" spans="5:8" x14ac:dyDescent="0.4">
      <c r="E20" s="139" t="s">
        <v>136</v>
      </c>
      <c r="F20" s="139"/>
      <c r="G20" s="139"/>
      <c r="H20" s="140">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Finalized</v>
      </c>
      <c r="G4" s="11" t="str">
        <f>VLOOKUP(A4,'Project Status'!C:K,9,FALSE)</f>
        <v>Ben Bedock</v>
      </c>
      <c r="H4" s="40">
        <f>VLOOKUP(A4,'Project Status'!C:M,11,FALSE)</f>
        <v>125875</v>
      </c>
      <c r="I4" s="174">
        <f>VLOOKUP(B4,'Project Status'!D:N,11,FALSE)</f>
        <v>114350</v>
      </c>
    </row>
    <row r="8" spans="1:11" x14ac:dyDescent="0.4">
      <c r="E8" s="41" t="s">
        <v>124</v>
      </c>
    </row>
    <row r="9" spans="1:11" x14ac:dyDescent="0.4">
      <c r="E9" t="s">
        <v>277</v>
      </c>
      <c r="F9" s="33" t="s">
        <v>139</v>
      </c>
      <c r="H9" s="42">
        <v>125875</v>
      </c>
    </row>
    <row r="10" spans="1:11" x14ac:dyDescent="0.4">
      <c r="E10" t="s">
        <v>399</v>
      </c>
      <c r="F10" t="s">
        <v>302</v>
      </c>
      <c r="H10" s="42">
        <v>-11525</v>
      </c>
    </row>
    <row r="13" spans="1:11" x14ac:dyDescent="0.4">
      <c r="F13" s="10"/>
      <c r="G13" s="10"/>
      <c r="H13" s="45"/>
    </row>
    <row r="18" spans="5:8" x14ac:dyDescent="0.4">
      <c r="E18" s="136" t="s">
        <v>264</v>
      </c>
      <c r="F18" s="137"/>
      <c r="G18" s="136"/>
      <c r="H18" s="138">
        <f>SUM(H9:H17)</f>
        <v>114350</v>
      </c>
    </row>
    <row r="20" spans="5:8" x14ac:dyDescent="0.4">
      <c r="E20" s="139" t="s">
        <v>136</v>
      </c>
      <c r="F20" s="139"/>
      <c r="G20" s="139"/>
      <c r="H20" s="140">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0">
        <f>VLOOKUP(A4,'Project Status'!C:M,11,FALSE)</f>
        <v>146500</v>
      </c>
    </row>
    <row r="8" spans="1:11" x14ac:dyDescent="0.4">
      <c r="E8" s="41" t="s">
        <v>124</v>
      </c>
    </row>
    <row r="9" spans="1:11" x14ac:dyDescent="0.4">
      <c r="E9" s="22" t="s">
        <v>175</v>
      </c>
      <c r="F9" s="33" t="s">
        <v>139</v>
      </c>
      <c r="H9" s="42">
        <v>135000</v>
      </c>
    </row>
    <row r="10" spans="1:11" x14ac:dyDescent="0.4">
      <c r="E10" s="22" t="s">
        <v>231</v>
      </c>
      <c r="F10" t="s">
        <v>146</v>
      </c>
      <c r="H10" s="43">
        <v>11500</v>
      </c>
    </row>
    <row r="18" spans="5:8" x14ac:dyDescent="0.4">
      <c r="E18" s="136" t="s">
        <v>264</v>
      </c>
      <c r="F18" s="137"/>
      <c r="G18" s="136"/>
      <c r="H18" s="138">
        <f>SUM(H9:H17)</f>
        <v>146500</v>
      </c>
    </row>
    <row r="20" spans="5:8" x14ac:dyDescent="0.4">
      <c r="E20" s="139" t="s">
        <v>136</v>
      </c>
      <c r="F20" s="139"/>
      <c r="G20" s="139"/>
      <c r="H20" s="140">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89">
        <f>VLOOKUP(A4,'Project Status'!C:M,11,FALSE)</f>
        <v>231433</v>
      </c>
    </row>
    <row r="8" spans="1:11" x14ac:dyDescent="0.4">
      <c r="E8" s="41" t="s">
        <v>124</v>
      </c>
    </row>
    <row r="9" spans="1:11" x14ac:dyDescent="0.4">
      <c r="E9" s="22" t="s">
        <v>215</v>
      </c>
      <c r="F9" s="33" t="s">
        <v>139</v>
      </c>
      <c r="H9" s="42">
        <v>195000</v>
      </c>
    </row>
    <row r="10" spans="1:11" x14ac:dyDescent="0.4">
      <c r="E10" s="22" t="s">
        <v>231</v>
      </c>
      <c r="F10" t="s">
        <v>146</v>
      </c>
      <c r="H10" s="42">
        <v>11500</v>
      </c>
    </row>
    <row r="11" spans="1:11" x14ac:dyDescent="0.4">
      <c r="E11" s="22" t="s">
        <v>336</v>
      </c>
      <c r="F11" t="s">
        <v>324</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264</v>
      </c>
      <c r="F18" s="137"/>
      <c r="G18" s="136"/>
      <c r="H18" s="138">
        <f>SUM(H9:H17)</f>
        <v>231433</v>
      </c>
    </row>
    <row r="20" spans="5:8" x14ac:dyDescent="0.4">
      <c r="E20" s="139" t="s">
        <v>136</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Construction</v>
      </c>
      <c r="G4" s="11" t="str">
        <f>VLOOKUP(A4,'Project Status'!C:K,9,FALSE)</f>
        <v>Sean Rewers</v>
      </c>
      <c r="H4" s="89">
        <f>VLOOKUP(A4,'Project Status'!C:M,11,FALSE)</f>
        <v>678513</v>
      </c>
    </row>
    <row r="8" spans="1:11" x14ac:dyDescent="0.4">
      <c r="E8" s="41" t="s">
        <v>124</v>
      </c>
    </row>
    <row r="9" spans="1:11" x14ac:dyDescent="0.4">
      <c r="E9" s="22" t="s">
        <v>215</v>
      </c>
      <c r="F9" s="33" t="s">
        <v>139</v>
      </c>
      <c r="H9" s="42">
        <v>24500</v>
      </c>
    </row>
    <row r="10" spans="1:11" x14ac:dyDescent="0.4">
      <c r="E10" s="22" t="s">
        <v>215</v>
      </c>
      <c r="F10" t="s">
        <v>214</v>
      </c>
      <c r="H10" s="42">
        <v>450</v>
      </c>
    </row>
    <row r="11" spans="1:11" x14ac:dyDescent="0.4">
      <c r="E11" s="22" t="s">
        <v>277</v>
      </c>
      <c r="F11" t="s">
        <v>146</v>
      </c>
      <c r="H11" s="42">
        <v>4300</v>
      </c>
    </row>
    <row r="12" spans="1:11" x14ac:dyDescent="0.4">
      <c r="E12" s="22" t="s">
        <v>357</v>
      </c>
      <c r="F12" t="s">
        <v>324</v>
      </c>
      <c r="G12" t="s">
        <v>356</v>
      </c>
      <c r="H12" s="42">
        <v>649263</v>
      </c>
    </row>
    <row r="18" spans="5:8" x14ac:dyDescent="0.4">
      <c r="E18" s="136" t="s">
        <v>264</v>
      </c>
      <c r="F18" s="137"/>
      <c r="G18" s="136"/>
      <c r="H18" s="138">
        <f>SUM(H9:H17)</f>
        <v>678513</v>
      </c>
    </row>
    <row r="20" spans="5:8" x14ac:dyDescent="0.4">
      <c r="E20" s="139" t="s">
        <v>136</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Finalized</v>
      </c>
      <c r="G4" s="11" t="str">
        <f>VLOOKUP(A4,'Project Status'!C:K,9,FALSE)</f>
        <v>Sean Rewers</v>
      </c>
      <c r="H4" s="89">
        <f>VLOOKUP(A4,'Project Status'!C:M,11,FALSE)</f>
        <v>85577</v>
      </c>
      <c r="I4" s="174">
        <f>VLOOKUP(B4,'Project Status'!D:N,11,FALSE)</f>
        <v>85576.77</v>
      </c>
    </row>
    <row r="8" spans="1:11" x14ac:dyDescent="0.4">
      <c r="E8" s="41" t="s">
        <v>124</v>
      </c>
    </row>
    <row r="9" spans="1:11" x14ac:dyDescent="0.4">
      <c r="E9" s="22" t="s">
        <v>226</v>
      </c>
      <c r="F9" s="33" t="s">
        <v>139</v>
      </c>
      <c r="H9" s="98">
        <v>2500</v>
      </c>
    </row>
    <row r="10" spans="1:11" x14ac:dyDescent="0.4">
      <c r="E10" s="22" t="s">
        <v>249</v>
      </c>
      <c r="F10" t="s">
        <v>139</v>
      </c>
      <c r="H10" s="42">
        <v>77123</v>
      </c>
    </row>
    <row r="11" spans="1:11" x14ac:dyDescent="0.4">
      <c r="E11" s="22" t="s">
        <v>325</v>
      </c>
      <c r="F11" t="s">
        <v>174</v>
      </c>
      <c r="H11" s="42">
        <v>5954</v>
      </c>
    </row>
    <row r="18" spans="5:8" x14ac:dyDescent="0.4">
      <c r="E18" s="136" t="s">
        <v>264</v>
      </c>
      <c r="F18" s="137"/>
      <c r="G18" s="136"/>
      <c r="H18" s="138">
        <f>SUM(H9:H17)</f>
        <v>85577</v>
      </c>
    </row>
    <row r="20" spans="5:8" x14ac:dyDescent="0.4">
      <c r="E20" s="139" t="s">
        <v>136</v>
      </c>
      <c r="F20" s="139"/>
      <c r="G20" s="139"/>
      <c r="H20" s="140">
        <f>H4-H18</f>
        <v>0</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61"/>
  <sheetViews>
    <sheetView zoomScaleNormal="100" workbookViewId="0">
      <pane ySplit="5" topLeftCell="A46" activePane="bottomLeft" state="frozen"/>
      <selection activeCell="B2" sqref="B2"/>
      <selection pane="bottomLeft" activeCell="B2" sqref="B2"/>
    </sheetView>
  </sheetViews>
  <sheetFormatPr defaultRowHeight="14.6" x14ac:dyDescent="0.4"/>
  <cols>
    <col min="1" max="1" width="3.3046875" bestFit="1" customWidth="1"/>
    <col min="2" max="2" width="14" customWidth="1"/>
    <col min="3" max="3" width="9.69140625" customWidth="1"/>
    <col min="4" max="4" width="17.15234375" bestFit="1" customWidth="1"/>
    <col min="5" max="5" width="63.3828125" bestFit="1" customWidth="1"/>
    <col min="6" max="9" width="12.69140625" style="42" customWidth="1"/>
  </cols>
  <sheetData>
    <row r="1" spans="1:9" s="8" customFormat="1" x14ac:dyDescent="0.4">
      <c r="B1" s="10" t="s">
        <v>190</v>
      </c>
      <c r="D1" s="10"/>
      <c r="F1" s="62"/>
      <c r="G1" s="62"/>
      <c r="H1" s="62"/>
      <c r="I1" s="62"/>
    </row>
    <row r="2" spans="1:9" s="8" customFormat="1" x14ac:dyDescent="0.4">
      <c r="B2" s="84" t="s">
        <v>112</v>
      </c>
      <c r="C2" s="85">
        <v>45510</v>
      </c>
      <c r="D2" s="33"/>
      <c r="F2" s="62"/>
      <c r="G2" s="62"/>
      <c r="H2" s="62"/>
      <c r="I2" s="62"/>
    </row>
    <row r="4" spans="1:9" ht="16.3" x14ac:dyDescent="0.4">
      <c r="B4" s="10" t="s">
        <v>113</v>
      </c>
      <c r="C4" s="10"/>
      <c r="D4" s="10"/>
      <c r="F4" s="253" t="s">
        <v>170</v>
      </c>
      <c r="G4" s="253" t="s">
        <v>171</v>
      </c>
      <c r="H4" s="253" t="s">
        <v>171</v>
      </c>
      <c r="I4" s="253" t="s">
        <v>171</v>
      </c>
    </row>
    <row r="5" spans="1:9" ht="29.15" x14ac:dyDescent="0.4">
      <c r="B5" s="59" t="s">
        <v>168</v>
      </c>
      <c r="C5" s="60" t="s">
        <v>167</v>
      </c>
      <c r="D5" s="59" t="s">
        <v>86</v>
      </c>
      <c r="E5" s="23" t="s">
        <v>169</v>
      </c>
      <c r="F5" s="114" t="s">
        <v>225</v>
      </c>
      <c r="G5" s="63" t="s">
        <v>329</v>
      </c>
      <c r="H5" s="64" t="s">
        <v>456</v>
      </c>
      <c r="I5" s="259" t="s">
        <v>459</v>
      </c>
    </row>
    <row r="6" spans="1:9" x14ac:dyDescent="0.4">
      <c r="A6" s="96">
        <v>1</v>
      </c>
      <c r="B6" t="str">
        <f>VLOOKUP(C6,'Project Status'!C:J,8,FALSE)</f>
        <v>Finalized</v>
      </c>
      <c r="C6" s="55">
        <v>10085</v>
      </c>
      <c r="D6" s="26" t="str">
        <f>VLOOKUP(C6,'Project Status'!C:G,5,FALSE)</f>
        <v>Peabody</v>
      </c>
      <c r="E6" t="str">
        <f>VLOOKUP(C6,'Project Status'!C:I,7,FALSE)</f>
        <v>One Magnolia Circle - Modify/Upgrade Electrical and Grounding</v>
      </c>
      <c r="F6" s="115">
        <f>VLOOKUP(C6,'Project Status'!C:L,10,FALSE)</f>
        <v>17500</v>
      </c>
      <c r="G6" s="255">
        <f>VLOOKUP(C6,'Project Status'!C:R,16,FALSE)</f>
        <v>17500</v>
      </c>
      <c r="H6" s="254">
        <f>VLOOKUP(C6,'Project Status'!C:S,17,FALSE)</f>
        <v>0</v>
      </c>
      <c r="I6" s="261">
        <f>VLOOKUP(C6,'Project Status'!C:V,20,FALSE)</f>
        <v>0</v>
      </c>
    </row>
    <row r="7" spans="1:9" x14ac:dyDescent="0.4">
      <c r="A7" s="96">
        <f>A6+1</f>
        <v>2</v>
      </c>
      <c r="B7" t="str">
        <f>VLOOKUP(C7,'Project Status'!C:J,8,FALSE)</f>
        <v>Finalized</v>
      </c>
      <c r="C7" s="55">
        <v>10098</v>
      </c>
      <c r="D7" s="26" t="str">
        <f>VLOOKUP(C7,'Project Status'!C:G,5,FALSE)</f>
        <v>SOM Basic Sciences</v>
      </c>
      <c r="E7" t="str">
        <f>VLOOKUP(C7,'Project Status'!C:I,7,FALSE)</f>
        <v>MRB III - 4th Floor - Replace Controls (Phase 2)</v>
      </c>
      <c r="F7" s="256">
        <f>VLOOKUP(C7,'Project Status'!C:L,10,FALSE)</f>
        <v>1216485.5</v>
      </c>
      <c r="G7" s="257">
        <f>VLOOKUP(C7,'Project Status'!C:R,16,FALSE)</f>
        <v>1216485.5</v>
      </c>
      <c r="H7" s="258">
        <f>VLOOKUP(C7,'Project Status'!C:S,17,FALSE)</f>
        <v>-4400.96</v>
      </c>
      <c r="I7" s="262">
        <f>VLOOKUP(C7,'Project Status'!C:V,20,FALSE)</f>
        <v>0</v>
      </c>
    </row>
    <row r="8" spans="1:9" x14ac:dyDescent="0.4">
      <c r="A8" s="96">
        <f t="shared" ref="A8:A59" si="0">A7+1</f>
        <v>3</v>
      </c>
      <c r="B8" t="str">
        <f>VLOOKUP(C8,'Project Status'!C:J,8,FALSE)</f>
        <v>Construction</v>
      </c>
      <c r="C8" s="55">
        <v>10146</v>
      </c>
      <c r="D8" s="26" t="str">
        <f>VLOOKUP(C8,'Project Status'!C:G,5,FALSE)</f>
        <v>Nursing</v>
      </c>
      <c r="E8" t="str">
        <f>VLOOKUP(C8,'Project Status'!C:I,7,FALSE)</f>
        <v>Godchaux Hall - HVAC Upgrade - Phase 1</v>
      </c>
      <c r="F8" s="256">
        <f>VLOOKUP(C8,'Project Status'!C:L,10,FALSE)</f>
        <v>318000</v>
      </c>
      <c r="G8" s="257">
        <f>VLOOKUP(C8,'Project Status'!C:R,16,FALSE)</f>
        <v>4900</v>
      </c>
      <c r="H8" s="258">
        <f>VLOOKUP(C8,'Project Status'!C:S,17,FALSE)</f>
        <v>255957</v>
      </c>
      <c r="I8" s="262">
        <f>VLOOKUP(C8,'Project Status'!C:V,20,FALSE)</f>
        <v>0</v>
      </c>
    </row>
    <row r="9" spans="1:9" x14ac:dyDescent="0.4">
      <c r="A9" s="96">
        <f t="shared" si="0"/>
        <v>4</v>
      </c>
      <c r="B9" t="str">
        <f>VLOOKUP(C9,'Project Status'!C:J,8,FALSE)</f>
        <v>Warranty or Construction Closeout</v>
      </c>
      <c r="C9" s="55">
        <v>20179</v>
      </c>
      <c r="D9" s="26" t="str">
        <f>VLOOKUP(C9,'Project Status'!C:G,5,FALSE)</f>
        <v>Law</v>
      </c>
      <c r="E9" t="str">
        <f>VLOOKUP(C9,'Project Status'!C:I,7,FALSE)</f>
        <v>Law School - Fire Alarm System Replacement</v>
      </c>
      <c r="F9" s="256">
        <f>VLOOKUP(C9,'Project Status'!C:L,10,FALSE)</f>
        <v>1445389</v>
      </c>
      <c r="G9" s="257">
        <f>VLOOKUP(C9,'Project Status'!C:R,16,FALSE)</f>
        <v>722694.5</v>
      </c>
      <c r="H9" s="258">
        <f>VLOOKUP(C9,'Project Status'!C:S,17,FALSE)</f>
        <v>0</v>
      </c>
      <c r="I9" s="262">
        <f>VLOOKUP(C9,'Project Status'!C:V,20,FALSE)</f>
        <v>0</v>
      </c>
    </row>
    <row r="10" spans="1:9" x14ac:dyDescent="0.4">
      <c r="A10" s="96">
        <f t="shared" si="0"/>
        <v>5</v>
      </c>
      <c r="B10" t="str">
        <f>VLOOKUP(C10,'Project Status'!C:J,8,FALSE)</f>
        <v>Finalized</v>
      </c>
      <c r="C10" s="55">
        <v>20336</v>
      </c>
      <c r="D10" s="26" t="str">
        <f>VLOOKUP(C10,'Project Status'!C:G,5,FALSE)</f>
        <v>Blair</v>
      </c>
      <c r="E10" t="str">
        <f>VLOOKUP(C10,'Project Status'!C:I,7,FALSE)</f>
        <v>Blair School of Music - Elevator #3 Modernization</v>
      </c>
      <c r="F10" s="256">
        <f>VLOOKUP(C10,'Project Status'!C:L,10,FALSE)</f>
        <v>327890</v>
      </c>
      <c r="G10" s="257">
        <f>VLOOKUP(C10,'Project Status'!C:R,16,FALSE)</f>
        <v>327890</v>
      </c>
      <c r="H10" s="258">
        <f>VLOOKUP(C10,'Project Status'!C:S,17,FALSE)</f>
        <v>-47290</v>
      </c>
      <c r="I10" s="262">
        <f>VLOOKUP(C10,'Project Status'!C:V,20,FALSE)</f>
        <v>0</v>
      </c>
    </row>
    <row r="11" spans="1:9" x14ac:dyDescent="0.4">
      <c r="A11" s="96">
        <f t="shared" si="0"/>
        <v>6</v>
      </c>
      <c r="B11" t="str">
        <f>VLOOKUP(C11,'Project Status'!C:J,8,FALSE)</f>
        <v>Construction</v>
      </c>
      <c r="C11" s="55">
        <v>20431</v>
      </c>
      <c r="D11" s="26" t="str">
        <f>VLOOKUP(C11,'Project Status'!C:G,5,FALSE)</f>
        <v>Divinity</v>
      </c>
      <c r="E11" t="str">
        <f>VLOOKUP(C11,'Project Status'!C:I,7,FALSE)</f>
        <v>Divinity Air Handling Unit Replacement, (5/6)- Phase 1</v>
      </c>
      <c r="F11" s="256">
        <f>VLOOKUP(C11,'Project Status'!C:L,10,FALSE)</f>
        <v>3800000</v>
      </c>
      <c r="G11" s="257">
        <f>VLOOKUP(C11,'Project Status'!C:R,16,FALSE)</f>
        <v>69862.5</v>
      </c>
      <c r="H11" s="258">
        <f>VLOOKUP(C11,'Project Status'!C:S,17,FALSE)</f>
        <v>3660360</v>
      </c>
      <c r="I11" s="262">
        <f>VLOOKUP(C11,'Project Status'!C:V,20,FALSE)</f>
        <v>0</v>
      </c>
    </row>
    <row r="12" spans="1:9" x14ac:dyDescent="0.4">
      <c r="A12" s="96">
        <f t="shared" si="0"/>
        <v>7</v>
      </c>
      <c r="B12" t="str">
        <f>VLOOKUP(C12,'Project Status'!C:J,8,FALSE)</f>
        <v>Warranty or Construction Closeout</v>
      </c>
      <c r="C12" s="55">
        <v>20478</v>
      </c>
      <c r="D12" s="26" t="str">
        <f>VLOOKUP(C12,'Project Status'!C:G,5,FALSE)</f>
        <v>Arts &amp; Science</v>
      </c>
      <c r="E12" t="str">
        <f>VLOOKUP(C12,'Project Status'!C:I,7,FALSE)</f>
        <v>Bryan Building - Swing Space Renovation - A&amp;S Planning</v>
      </c>
      <c r="F12" s="256">
        <f>VLOOKUP(C12,'Project Status'!C:L,10,FALSE)</f>
        <v>2790000</v>
      </c>
      <c r="G12" s="257">
        <f>VLOOKUP(C12,'Project Status'!C:R,16,FALSE)</f>
        <v>81100</v>
      </c>
      <c r="H12" s="258">
        <f>VLOOKUP(C12,'Project Status'!C:S,17,FALSE)</f>
        <v>1028900</v>
      </c>
      <c r="I12" s="262">
        <f>VLOOKUP(C12,'Project Status'!C:V,20,FALSE)</f>
        <v>0</v>
      </c>
    </row>
    <row r="13" spans="1:9" x14ac:dyDescent="0.4">
      <c r="A13" s="96">
        <f t="shared" si="0"/>
        <v>8</v>
      </c>
      <c r="B13" t="str">
        <f>VLOOKUP(C13,'Project Status'!C:J,8,FALSE)</f>
        <v>Not Started</v>
      </c>
      <c r="C13" s="55">
        <v>20489</v>
      </c>
      <c r="D13" s="26" t="str">
        <f>VLOOKUP(C13,'Project Status'!C:G,5,FALSE)</f>
        <v>Divinity</v>
      </c>
      <c r="E13" t="str">
        <f>VLOOKUP(C13,'Project Status'!C:I,7,FALSE)</f>
        <v>Divinity Air Handling Unit Replacement,(1/3) - Phase 2 with Benton - FY26</v>
      </c>
      <c r="F13" s="256">
        <f>VLOOKUP(C13,'Project Status'!C:L,10,FALSE)</f>
        <v>4650000</v>
      </c>
      <c r="G13" s="257">
        <f>VLOOKUP(C13,'Project Status'!C:R,16,FALSE)</f>
        <v>26500</v>
      </c>
      <c r="H13" s="258">
        <f>VLOOKUP(C13,'Project Status'!C:S,17,FALSE)</f>
        <v>0</v>
      </c>
      <c r="I13" s="262">
        <f>VLOOKUP(C13,'Project Status'!C:V,20,FALSE)</f>
        <v>0</v>
      </c>
    </row>
    <row r="14" spans="1:9" x14ac:dyDescent="0.4">
      <c r="A14" s="96">
        <f t="shared" si="0"/>
        <v>9</v>
      </c>
      <c r="B14" t="str">
        <f>VLOOKUP(C14,'Project Status'!C:J,8,FALSE)</f>
        <v>Finalized</v>
      </c>
      <c r="C14" s="55">
        <v>20497</v>
      </c>
      <c r="D14" s="26" t="str">
        <f>VLOOKUP(C14,'Project Status'!C:G,5,FALSE)</f>
        <v>Peabody</v>
      </c>
      <c r="E14" t="str">
        <f>VLOOKUP(C14,'Project Status'!C:I,7,FALSE)</f>
        <v>Jesup - Roof Replacement</v>
      </c>
      <c r="F14" s="256">
        <f>VLOOKUP(C14,'Project Status'!C:L,10,FALSE)</f>
        <v>456850</v>
      </c>
      <c r="G14" s="257">
        <f>VLOOKUP(C14,'Project Status'!C:R,16,FALSE)</f>
        <v>79415.5</v>
      </c>
      <c r="H14" s="258">
        <f>VLOOKUP(C14,'Project Status'!C:S,17,FALSE)</f>
        <v>-44850</v>
      </c>
      <c r="I14" s="262">
        <f>VLOOKUP(C14,'Project Status'!C:V,20,FALSE)</f>
        <v>0</v>
      </c>
    </row>
    <row r="15" spans="1:9" x14ac:dyDescent="0.4">
      <c r="A15" s="96">
        <f t="shared" si="0"/>
        <v>10</v>
      </c>
      <c r="B15" t="str">
        <f>VLOOKUP(C15,'Project Status'!C:J,8,FALSE)</f>
        <v>Finalized</v>
      </c>
      <c r="C15" s="55">
        <v>20506</v>
      </c>
      <c r="D15" s="26" t="str">
        <f>VLOOKUP(C15,'Project Status'!C:G,5,FALSE)</f>
        <v>Peabody</v>
      </c>
      <c r="E15" t="str">
        <f>VLOOKUP(C15,'Project Status'!C:I,7,FALSE)</f>
        <v>Wyatt Center - Window Replacement</v>
      </c>
      <c r="F15" s="256">
        <f>VLOOKUP(C15,'Project Status'!C:L,10,FALSE)</f>
        <v>344155.26</v>
      </c>
      <c r="G15" s="257">
        <f>VLOOKUP(C15,'Project Status'!C:R,16,FALSE)</f>
        <v>344155.26</v>
      </c>
      <c r="H15" s="258">
        <f>VLOOKUP(C15,'Project Status'!C:S,17,FALSE)</f>
        <v>-36379</v>
      </c>
      <c r="I15" s="262">
        <f>VLOOKUP(C15,'Project Status'!C:V,20,FALSE)</f>
        <v>0</v>
      </c>
    </row>
    <row r="16" spans="1:9" x14ac:dyDescent="0.4">
      <c r="A16" s="96">
        <f t="shared" si="0"/>
        <v>11</v>
      </c>
      <c r="B16" t="str">
        <f>VLOOKUP(C16,'Project Status'!C:J,8,FALSE)</f>
        <v>Finalized</v>
      </c>
      <c r="C16" s="55">
        <v>20562</v>
      </c>
      <c r="D16" s="26" t="str">
        <f>VLOOKUP(C16,'Project Status'!C:G,5,FALSE)</f>
        <v>Peabody</v>
      </c>
      <c r="E16" t="str">
        <f>VLOOKUP(C16,'Project Status'!C:I,7,FALSE)</f>
        <v>Wyatt Center - VAV Replacement</v>
      </c>
      <c r="F16" s="256">
        <f>VLOOKUP(C16,'Project Status'!C:L,10,FALSE)</f>
        <v>400000</v>
      </c>
      <c r="G16" s="257">
        <f>VLOOKUP(C16,'Project Status'!C:R,16,FALSE)</f>
        <v>405791</v>
      </c>
      <c r="H16" s="258">
        <f>VLOOKUP(C16,'Project Status'!C:S,17,FALSE)</f>
        <v>-43231.360000000001</v>
      </c>
      <c r="I16" s="262">
        <f>VLOOKUP(C16,'Project Status'!C:V,20,FALSE)</f>
        <v>0</v>
      </c>
    </row>
    <row r="17" spans="1:9" x14ac:dyDescent="0.4">
      <c r="A17" s="96">
        <f t="shared" si="0"/>
        <v>12</v>
      </c>
      <c r="B17" t="str">
        <f>VLOOKUP(C17,'Project Status'!C:J,8,FALSE)</f>
        <v>Not Started</v>
      </c>
      <c r="C17" s="55">
        <v>20563</v>
      </c>
      <c r="D17" s="26" t="str">
        <f>VLOOKUP(C17,'Project Status'!C:G,5,FALSE)</f>
        <v>Engineering</v>
      </c>
      <c r="E17" t="str">
        <f>VLOOKUP(C17,'Project Status'!C:I,7,FALSE)</f>
        <v>Keck FEL - Roof Replacement</v>
      </c>
      <c r="F17" s="256">
        <f>VLOOKUP(C17,'Project Status'!C:L,10,FALSE)</f>
        <v>386000</v>
      </c>
      <c r="G17" s="257">
        <f>VLOOKUP(C17,'Project Status'!C:R,16,FALSE)</f>
        <v>0</v>
      </c>
      <c r="H17" s="258">
        <f>VLOOKUP(C17,'Project Status'!C:S,17,FALSE)</f>
        <v>0</v>
      </c>
      <c r="I17" s="262">
        <f>VLOOKUP(C17,'Project Status'!C:V,20,FALSE)</f>
        <v>0</v>
      </c>
    </row>
    <row r="18" spans="1:9" x14ac:dyDescent="0.4">
      <c r="A18" s="96">
        <f t="shared" si="0"/>
        <v>13</v>
      </c>
      <c r="B18" t="str">
        <f>VLOOKUP(C18,'Project Status'!C:J,8,FALSE)</f>
        <v>Finalized</v>
      </c>
      <c r="C18" s="55">
        <v>20566</v>
      </c>
      <c r="D18" s="26" t="str">
        <f>VLOOKUP(C18,'Project Status'!C:G,5,FALSE)</f>
        <v>Arts &amp; Science</v>
      </c>
      <c r="E18" t="str">
        <f>VLOOKUP(C18,'Project Status'!C:I,7,FALSE)</f>
        <v>SC Chemistry (SC7) - Elevator 1 &amp; 2 Modernization</v>
      </c>
      <c r="F18" s="256">
        <f>VLOOKUP(C18,'Project Status'!C:L,10,FALSE)</f>
        <v>781870</v>
      </c>
      <c r="G18" s="257">
        <f>VLOOKUP(C18,'Project Status'!C:R,16,FALSE)</f>
        <v>781870</v>
      </c>
      <c r="H18" s="258">
        <f>VLOOKUP(C18,'Project Status'!C:S,17,FALSE)</f>
        <v>-59283.32</v>
      </c>
      <c r="I18" s="262">
        <f>VLOOKUP(C18,'Project Status'!C:V,20,FALSE)</f>
        <v>0</v>
      </c>
    </row>
    <row r="19" spans="1:9" x14ac:dyDescent="0.4">
      <c r="A19" s="96">
        <f t="shared" si="0"/>
        <v>14</v>
      </c>
      <c r="B19" t="str">
        <f>VLOOKUP(C19,'Project Status'!C:J,8,FALSE)</f>
        <v>Finalized</v>
      </c>
      <c r="C19" s="55">
        <v>20573</v>
      </c>
      <c r="D19" s="26" t="str">
        <f>VLOOKUP(C19,'Project Status'!C:G,5,FALSE)</f>
        <v>Peabody</v>
      </c>
      <c r="E19" t="str">
        <f>VLOOKUP(C19,'Project Status'!C:I,7,FALSE)</f>
        <v>Wyatt Center - Roof Replacement</v>
      </c>
      <c r="F19" s="256">
        <f>VLOOKUP(C19,'Project Status'!C:L,10,FALSE)</f>
        <v>1232681</v>
      </c>
      <c r="G19" s="257">
        <f>VLOOKUP(C19,'Project Status'!C:R,16,FALSE)</f>
        <v>1232681</v>
      </c>
      <c r="H19" s="258">
        <f>VLOOKUP(C19,'Project Status'!C:S,17,FALSE)</f>
        <v>-119221</v>
      </c>
      <c r="I19" s="262">
        <f>VLOOKUP(C19,'Project Status'!C:V,20,FALSE)</f>
        <v>0</v>
      </c>
    </row>
    <row r="20" spans="1:9" x14ac:dyDescent="0.4">
      <c r="A20" s="96">
        <f t="shared" si="0"/>
        <v>15</v>
      </c>
      <c r="B20" t="str">
        <f>VLOOKUP(C20,'Project Status'!C:J,8,FALSE)</f>
        <v>Finalized</v>
      </c>
      <c r="C20" s="55">
        <v>20574</v>
      </c>
      <c r="D20" s="26" t="str">
        <f>VLOOKUP(C20,'Project Status'!C:G,5,FALSE)</f>
        <v>SOM Basic Sciences</v>
      </c>
      <c r="E20" t="str">
        <f>VLOOKUP(C20,'Project Status'!C:I,7,FALSE)</f>
        <v>MRB III - Steam Coil Replacement</v>
      </c>
      <c r="F20" s="256">
        <f>VLOOKUP(C20,'Project Status'!C:L,10,FALSE)</f>
        <v>218202</v>
      </c>
      <c r="G20" s="257">
        <f>VLOOKUP(C20,'Project Status'!C:R,16,FALSE)</f>
        <v>218202</v>
      </c>
      <c r="H20" s="258">
        <f>VLOOKUP(C20,'Project Status'!C:S,17,FALSE)</f>
        <v>-22537</v>
      </c>
      <c r="I20" s="262">
        <f>VLOOKUP(C20,'Project Status'!C:V,20,FALSE)</f>
        <v>0</v>
      </c>
    </row>
    <row r="21" spans="1:9" x14ac:dyDescent="0.4">
      <c r="A21" s="96">
        <f t="shared" si="0"/>
        <v>16</v>
      </c>
      <c r="B21" t="str">
        <f>VLOOKUP(C21,'Project Status'!C:J,8,FALSE)</f>
        <v>Award</v>
      </c>
      <c r="C21" s="55">
        <v>20577</v>
      </c>
      <c r="D21" s="26" t="str">
        <f>VLOOKUP(C21,'Project Status'!C:G,5,FALSE)</f>
        <v>Blair</v>
      </c>
      <c r="E21" t="str">
        <f>VLOOKUP(C21,'Project Status'!C:I,7,FALSE)</f>
        <v>Blair School of Music - AHU - 1 Replacement -Phase 1 - FY25</v>
      </c>
      <c r="F21" s="256">
        <f>VLOOKUP(C21,'Project Status'!C:L,10,FALSE)</f>
        <v>1500000</v>
      </c>
      <c r="G21" s="257">
        <f>VLOOKUP(C21,'Project Status'!C:R,16,FALSE)</f>
        <v>223000</v>
      </c>
      <c r="H21" s="258">
        <f>VLOOKUP(C21,'Project Status'!C:S,17,FALSE)</f>
        <v>0</v>
      </c>
      <c r="I21" s="262">
        <f>VLOOKUP(C21,'Project Status'!C:V,20,FALSE)</f>
        <v>1300000</v>
      </c>
    </row>
    <row r="22" spans="1:9" x14ac:dyDescent="0.4">
      <c r="A22" s="96">
        <f t="shared" si="0"/>
        <v>17</v>
      </c>
      <c r="B22" t="str">
        <f>VLOOKUP(C22,'Project Status'!C:J,8,FALSE)</f>
        <v>Finalized</v>
      </c>
      <c r="C22" s="55">
        <v>20644</v>
      </c>
      <c r="D22" s="26" t="str">
        <f>VLOOKUP(C22,'Project Status'!C:G,5,FALSE)</f>
        <v>Peabody</v>
      </c>
      <c r="E22" t="str">
        <f>VLOOKUP(C22,'Project Status'!C:I,7,FALSE)</f>
        <v>Peabody Administration - Envelope Repairs</v>
      </c>
      <c r="F22" s="256">
        <f>VLOOKUP(C22,'Project Status'!C:L,10,FALSE)</f>
        <v>630554</v>
      </c>
      <c r="G22" s="257">
        <f>VLOOKUP(C22,'Project Status'!C:R,16,FALSE)</f>
        <v>630554</v>
      </c>
      <c r="H22" s="258">
        <f>VLOOKUP(C22,'Project Status'!C:S,17,FALSE)</f>
        <v>-58765</v>
      </c>
      <c r="I22" s="262">
        <f>VLOOKUP(C22,'Project Status'!C:V,20,FALSE)</f>
        <v>0</v>
      </c>
    </row>
    <row r="23" spans="1:9" x14ac:dyDescent="0.4">
      <c r="A23" s="96">
        <f t="shared" si="0"/>
        <v>18</v>
      </c>
      <c r="B23" t="str">
        <f>VLOOKUP(C23,'Project Status'!C:J,8,FALSE)</f>
        <v>Finalized</v>
      </c>
      <c r="C23" s="55">
        <v>20645</v>
      </c>
      <c r="D23" s="26" t="str">
        <f>VLOOKUP(C23,'Project Status'!C:G,5,FALSE)</f>
        <v>Arts &amp; Science</v>
      </c>
      <c r="E23" t="str">
        <f>VLOOKUP(C23,'Project Status'!C:I,7,FALSE)</f>
        <v>Benson Old Central - Replace Soffit and Doors</v>
      </c>
      <c r="F23" s="256">
        <f>VLOOKUP(C23,'Project Status'!C:L,10,FALSE)</f>
        <v>125875</v>
      </c>
      <c r="G23" s="257">
        <f>VLOOKUP(C23,'Project Status'!C:R,16,FALSE)</f>
        <v>125875</v>
      </c>
      <c r="H23" s="258">
        <f>VLOOKUP(C23,'Project Status'!C:S,17,FALSE)</f>
        <v>-11525</v>
      </c>
      <c r="I23" s="262">
        <f>VLOOKUP(C23,'Project Status'!C:V,20,FALSE)</f>
        <v>0</v>
      </c>
    </row>
    <row r="24" spans="1:9" x14ac:dyDescent="0.4">
      <c r="A24" s="96">
        <f t="shared" si="0"/>
        <v>19</v>
      </c>
      <c r="B24" t="str">
        <f>VLOOKUP(C24,'Project Status'!C:J,8,FALSE)</f>
        <v>Design</v>
      </c>
      <c r="C24" s="55">
        <v>20667</v>
      </c>
      <c r="D24" s="26" t="str">
        <f>VLOOKUP(C24,'Project Status'!C:G,5,FALSE)</f>
        <v>Engineering</v>
      </c>
      <c r="E24" t="str">
        <f>VLOOKUP(C24,'Project Status'!C:I,7,FALSE)</f>
        <v>1025 16th Avenue - Mechanical and Electrical Upgrades</v>
      </c>
      <c r="F24" s="256">
        <f>VLOOKUP(C24,'Project Status'!C:L,10,FALSE)</f>
        <v>2000000</v>
      </c>
      <c r="G24" s="257">
        <f>VLOOKUP(C24,'Project Status'!C:R,16,FALSE)</f>
        <v>146500</v>
      </c>
      <c r="H24" s="258">
        <f>VLOOKUP(C24,'Project Status'!C:S,17,FALSE)</f>
        <v>0</v>
      </c>
      <c r="I24" s="262" t="str">
        <f>VLOOKUP(C24,'Project Status'!C:V,20,FALSE)</f>
        <v>TBD</v>
      </c>
    </row>
    <row r="25" spans="1:9" x14ac:dyDescent="0.4">
      <c r="A25" s="96">
        <f t="shared" si="0"/>
        <v>20</v>
      </c>
      <c r="B25" t="str">
        <f>VLOOKUP(C25,'Project Status'!C:J,8,FALSE)</f>
        <v>Design</v>
      </c>
      <c r="C25" s="55">
        <v>20668</v>
      </c>
      <c r="D25" s="26" t="str">
        <f>VLOOKUP(C25,'Project Status'!C:G,5,FALSE)</f>
        <v>Engineering</v>
      </c>
      <c r="E25" t="str">
        <f>VLOOKUP(C25,'Project Status'!C:I,7,FALSE)</f>
        <v>Keck FEL - Mechanical Upgrades</v>
      </c>
      <c r="F25" s="256">
        <f>VLOOKUP(C25,'Project Status'!C:L,10,FALSE)</f>
        <v>0</v>
      </c>
      <c r="G25" s="257">
        <f>VLOOKUP(C25,'Project Status'!C:R,16,FALSE)</f>
        <v>206500</v>
      </c>
      <c r="H25" s="258">
        <f>VLOOKUP(C25,'Project Status'!C:S,17,FALSE)</f>
        <v>24933</v>
      </c>
      <c r="I25" s="262">
        <f>VLOOKUP(C25,'Project Status'!C:V,20,FALSE)</f>
        <v>0</v>
      </c>
    </row>
    <row r="26" spans="1:9" x14ac:dyDescent="0.4">
      <c r="A26" s="96">
        <f t="shared" si="0"/>
        <v>21</v>
      </c>
      <c r="B26" t="str">
        <f>VLOOKUP(C26,'Project Status'!C:J,8,FALSE)</f>
        <v>Construction</v>
      </c>
      <c r="C26" s="55">
        <v>20698</v>
      </c>
      <c r="D26" s="26" t="str">
        <f>VLOOKUP(C26,'Project Status'!C:G,5,FALSE)</f>
        <v>Arts &amp; Science</v>
      </c>
      <c r="E26" t="str">
        <f>VLOOKUP(C26,'Project Status'!C:I,7,FALSE)</f>
        <v>Wilson Hall - Fire Alarm Replacement</v>
      </c>
      <c r="F26" s="256">
        <f>VLOOKUP(C26,'Project Status'!C:L,10,FALSE)</f>
        <v>680000</v>
      </c>
      <c r="G26" s="257">
        <f>VLOOKUP(C26,'Project Status'!C:R,16,FALSE)</f>
        <v>29250</v>
      </c>
      <c r="H26" s="258">
        <f>VLOOKUP(C26,'Project Status'!C:S,17,FALSE)</f>
        <v>649263</v>
      </c>
      <c r="I26" s="262">
        <f>VLOOKUP(C26,'Project Status'!C:V,20,FALSE)</f>
        <v>0</v>
      </c>
    </row>
    <row r="27" spans="1:9" x14ac:dyDescent="0.4">
      <c r="A27" s="96">
        <f t="shared" si="0"/>
        <v>22</v>
      </c>
      <c r="B27" t="str">
        <f>VLOOKUP(C27,'Project Status'!C:J,8,FALSE)</f>
        <v>Finalized</v>
      </c>
      <c r="C27" s="55">
        <v>20700</v>
      </c>
      <c r="D27" s="26" t="str">
        <f>VLOOKUP(C27,'Project Status'!C:G,5,FALSE)</f>
        <v>Arts &amp; Science</v>
      </c>
      <c r="E27" t="str">
        <f>VLOOKUP(C27,'Project Status'!C:I,7,FALSE)</f>
        <v>SC-7 Chemistry - SG-1 Removal and Connection to Central Plant Steam</v>
      </c>
      <c r="F27" s="256">
        <f>VLOOKUP(C27,'Project Status'!C:L,10,FALSE)</f>
        <v>80000</v>
      </c>
      <c r="G27" s="257">
        <f>VLOOKUP(C27,'Project Status'!C:R,16,FALSE)</f>
        <v>79623</v>
      </c>
      <c r="H27" s="258">
        <f>VLOOKUP(C27,'Project Status'!C:S,17,FALSE)</f>
        <v>5954</v>
      </c>
      <c r="I27" s="262">
        <f>VLOOKUP(C27,'Project Status'!C:V,20,FALSE)</f>
        <v>0</v>
      </c>
    </row>
    <row r="28" spans="1:9" x14ac:dyDescent="0.4">
      <c r="A28" s="96">
        <f t="shared" si="0"/>
        <v>23</v>
      </c>
      <c r="B28" t="str">
        <f>VLOOKUP(C28,'Project Status'!C:J,8,FALSE)</f>
        <v>Award</v>
      </c>
      <c r="C28" s="55">
        <v>20701</v>
      </c>
      <c r="D28" s="26" t="str">
        <f>VLOOKUP(C28,'Project Status'!C:G,5,FALSE)</f>
        <v>Arts &amp; Science</v>
      </c>
      <c r="E28" t="str">
        <f>VLOOKUP(C28,'Project Status'!C:I,7,FALSE)</f>
        <v>SC-5 - Chemical Discharge Replacement</v>
      </c>
      <c r="F28" s="256">
        <f>VLOOKUP(C28,'Project Status'!C:L,10,FALSE)</f>
        <v>500000</v>
      </c>
      <c r="G28" s="257">
        <f>VLOOKUP(C28,'Project Status'!C:R,16,FALSE)</f>
        <v>499093</v>
      </c>
      <c r="H28" s="258">
        <f>VLOOKUP(C28,'Project Status'!C:S,17,FALSE)</f>
        <v>0</v>
      </c>
      <c r="I28" s="262">
        <f>VLOOKUP(C28,'Project Status'!C:V,20,FALSE)</f>
        <v>0</v>
      </c>
    </row>
    <row r="29" spans="1:9" x14ac:dyDescent="0.4">
      <c r="A29" s="96">
        <f t="shared" si="0"/>
        <v>24</v>
      </c>
      <c r="B29" t="str">
        <f>VLOOKUP(C29,'Project Status'!C:J,8,FALSE)</f>
        <v>Finalized</v>
      </c>
      <c r="C29" s="55">
        <v>20702</v>
      </c>
      <c r="D29" s="26" t="str">
        <f>VLOOKUP(C29,'Project Status'!C:G,5,FALSE)</f>
        <v>Peabody</v>
      </c>
      <c r="E29" t="str">
        <f>VLOOKUP(C29,'Project Status'!C:I,7,FALSE)</f>
        <v>Wyatt Center - Elevator #2 Modernization</v>
      </c>
      <c r="F29" s="256">
        <f>VLOOKUP(C29,'Project Status'!C:L,10,FALSE)</f>
        <v>225791</v>
      </c>
      <c r="G29" s="257">
        <f>VLOOKUP(C29,'Project Status'!C:R,16,FALSE)</f>
        <v>239341</v>
      </c>
      <c r="H29" s="258">
        <f>VLOOKUP(C29,'Project Status'!C:S,17,FALSE)</f>
        <v>-29922</v>
      </c>
      <c r="I29" s="262">
        <f>VLOOKUP(C29,'Project Status'!C:V,20,FALSE)</f>
        <v>0</v>
      </c>
    </row>
    <row r="30" spans="1:9" x14ac:dyDescent="0.4">
      <c r="A30" s="96">
        <f t="shared" si="0"/>
        <v>25</v>
      </c>
      <c r="B30" t="str">
        <f>VLOOKUP(C30,'Project Status'!C:J,8,FALSE)</f>
        <v>Finalized</v>
      </c>
      <c r="C30" s="55">
        <v>20718</v>
      </c>
      <c r="D30" s="26" t="str">
        <f>VLOOKUP(C30,'Project Status'!C:G,5,FALSE)</f>
        <v>Arts &amp; Science</v>
      </c>
      <c r="E30" t="str">
        <f>VLOOKUP(C30,'Project Status'!C:I,7,FALSE)</f>
        <v>Buttrick Hall - 3rd Floor Inequality Renovations</v>
      </c>
      <c r="F30" s="256">
        <f>VLOOKUP(C30,'Project Status'!C:L,10,FALSE)</f>
        <v>715000</v>
      </c>
      <c r="G30" s="257">
        <f>VLOOKUP(C30,'Project Status'!C:R,16,FALSE)</f>
        <v>96166</v>
      </c>
      <c r="H30" s="258">
        <f>VLOOKUP(C30,'Project Status'!C:S,17,FALSE)</f>
        <v>0</v>
      </c>
      <c r="I30" s="262">
        <f>VLOOKUP(C30,'Project Status'!C:V,20,FALSE)</f>
        <v>0</v>
      </c>
    </row>
    <row r="31" spans="1:9" x14ac:dyDescent="0.4">
      <c r="A31" s="96">
        <f t="shared" si="0"/>
        <v>26</v>
      </c>
      <c r="B31" t="str">
        <f>VLOOKUP(C31,'Project Status'!C:J,8,FALSE)</f>
        <v>Award</v>
      </c>
      <c r="C31" s="55">
        <v>20723</v>
      </c>
      <c r="D31" s="26" t="str">
        <f>VLOOKUP(C31,'Project Status'!C:G,5,FALSE)</f>
        <v>SOM Basic Sciences</v>
      </c>
      <c r="E31" t="str">
        <f>VLOOKUP(C31,'Project Status'!C:I,7,FALSE)</f>
        <v>MRB III - 9th Floor (with 4 ,5 &amp; 8) - Replace Controls (Phase 3)</v>
      </c>
      <c r="F31" s="256">
        <f>VLOOKUP(C31,'Project Status'!C:L,10,FALSE)</f>
        <v>1610000</v>
      </c>
      <c r="G31" s="257">
        <f>VLOOKUP(C31,'Project Status'!C:R,16,FALSE)</f>
        <v>160500</v>
      </c>
      <c r="H31" s="258">
        <f>VLOOKUP(C31,'Project Status'!C:S,17,FALSE)</f>
        <v>0</v>
      </c>
      <c r="I31" s="262">
        <f>VLOOKUP(C31,'Project Status'!C:V,20,FALSE)</f>
        <v>1539500</v>
      </c>
    </row>
    <row r="32" spans="1:9" x14ac:dyDescent="0.4">
      <c r="A32" s="96">
        <f t="shared" si="0"/>
        <v>27</v>
      </c>
      <c r="B32" t="str">
        <f>VLOOKUP(C32,'Project Status'!C:J,8,FALSE)</f>
        <v>Construction</v>
      </c>
      <c r="C32" s="55">
        <v>20724</v>
      </c>
      <c r="D32" s="26" t="str">
        <f>VLOOKUP(C32,'Project Status'!C:G,5,FALSE)</f>
        <v>Blair</v>
      </c>
      <c r="E32" t="str">
        <f>VLOOKUP(C32,'Project Status'!C:I,7,FALSE)</f>
        <v>Blair School of Music - Steam Line - FY 23</v>
      </c>
      <c r="F32" s="256">
        <f>VLOOKUP(C32,'Project Status'!C:L,10,FALSE)</f>
        <v>1987500</v>
      </c>
      <c r="G32" s="257">
        <f>VLOOKUP(C32,'Project Status'!C:R,16,FALSE)</f>
        <v>23400</v>
      </c>
      <c r="H32" s="258">
        <f>VLOOKUP(C32,'Project Status'!C:S,17,FALSE)</f>
        <v>1964100</v>
      </c>
      <c r="I32" s="262">
        <f>VLOOKUP(C32,'Project Status'!C:V,20,FALSE)</f>
        <v>0</v>
      </c>
    </row>
    <row r="33" spans="1:9" x14ac:dyDescent="0.4">
      <c r="A33" s="96">
        <f t="shared" si="0"/>
        <v>28</v>
      </c>
      <c r="B33" t="str">
        <f>VLOOKUP(C33,'Project Status'!C:J,8,FALSE)</f>
        <v>Financial Closeout</v>
      </c>
      <c r="C33" s="55">
        <v>20735</v>
      </c>
      <c r="D33" s="26" t="str">
        <f>VLOOKUP(C33,'Project Status'!C:G,5,FALSE)</f>
        <v>Owen</v>
      </c>
      <c r="E33" t="str">
        <f>VLOOKUP(C33,'Project Status'!C:I,7,FALSE)</f>
        <v>Owen - Roof Replacement (Third Level)</v>
      </c>
      <c r="F33" s="256">
        <f>VLOOKUP(C33,'Project Status'!C:L,10,FALSE)</f>
        <v>300000</v>
      </c>
      <c r="G33" s="257">
        <f>VLOOKUP(C33,'Project Status'!C:R,16,FALSE)</f>
        <v>300000</v>
      </c>
      <c r="H33" s="258">
        <f>VLOOKUP(C33,'Project Status'!C:S,17,FALSE)</f>
        <v>-23500</v>
      </c>
      <c r="I33" s="262">
        <f>VLOOKUP(C33,'Project Status'!C:V,20,FALSE)</f>
        <v>0</v>
      </c>
    </row>
    <row r="34" spans="1:9" x14ac:dyDescent="0.4">
      <c r="A34" s="96">
        <f t="shared" si="0"/>
        <v>29</v>
      </c>
      <c r="B34" t="str">
        <f>VLOOKUP(C34,'Project Status'!C:J,8,FALSE)</f>
        <v>Construction</v>
      </c>
      <c r="C34" s="55">
        <v>20767</v>
      </c>
      <c r="D34" s="26" t="str">
        <f>VLOOKUP(C34,'Project Status'!C:G,5,FALSE)</f>
        <v>Peabody</v>
      </c>
      <c r="E34" t="str">
        <f>VLOOKUP(C34,'Project Status'!C:I,7,FALSE)</f>
        <v>Six Magnolia Circle - Foundation Repairs</v>
      </c>
      <c r="F34" s="256">
        <f>VLOOKUP(C34,'Project Status'!C:L,10,FALSE)</f>
        <v>149000</v>
      </c>
      <c r="G34" s="257">
        <f>VLOOKUP(C34,'Project Status'!C:R,16,FALSE)</f>
        <v>0</v>
      </c>
      <c r="H34" s="258">
        <f>VLOOKUP(C34,'Project Status'!C:S,17,FALSE)</f>
        <v>148299</v>
      </c>
      <c r="I34" s="262">
        <f>VLOOKUP(C34,'Project Status'!C:V,20,FALSE)</f>
        <v>0</v>
      </c>
    </row>
    <row r="35" spans="1:9" x14ac:dyDescent="0.4">
      <c r="A35" s="96">
        <f t="shared" si="0"/>
        <v>30</v>
      </c>
      <c r="B35" t="str">
        <f>VLOOKUP(C35,'Project Status'!C:J,8,FALSE)</f>
        <v>Finalized</v>
      </c>
      <c r="C35" s="55">
        <v>20771</v>
      </c>
      <c r="D35" s="26" t="str">
        <f>VLOOKUP(C35,'Project Status'!C:G,5,FALSE)</f>
        <v>Arts &amp; Science</v>
      </c>
      <c r="E35" t="str">
        <f>VLOOKUP(C35,'Project Status'!C:I,7,FALSE)</f>
        <v>SC4 - Interstitial Space HVAC Modifications</v>
      </c>
      <c r="F35" s="256">
        <f>VLOOKUP(C35,'Project Status'!C:L,10,FALSE)</f>
        <v>25000</v>
      </c>
      <c r="G35" s="257">
        <f>VLOOKUP(C35,'Project Status'!C:R,16,FALSE)</f>
        <v>24997</v>
      </c>
      <c r="H35" s="258">
        <f>VLOOKUP(C35,'Project Status'!C:S,17,FALSE)</f>
        <v>-7025</v>
      </c>
      <c r="I35" s="262">
        <f>VLOOKUP(C35,'Project Status'!C:V,20,FALSE)</f>
        <v>0</v>
      </c>
    </row>
    <row r="36" spans="1:9" x14ac:dyDescent="0.4">
      <c r="A36" s="96">
        <f t="shared" si="0"/>
        <v>31</v>
      </c>
      <c r="B36" t="str">
        <f>VLOOKUP(C36,'Project Status'!C:J,8,FALSE)</f>
        <v>Construction</v>
      </c>
      <c r="C36" s="55">
        <v>20772</v>
      </c>
      <c r="D36" s="26" t="str">
        <f>VLOOKUP(C36,'Project Status'!C:G,5,FALSE)</f>
        <v>Owen</v>
      </c>
      <c r="E36" t="str">
        <f>VLOOKUP(C36,'Project Status'!C:I,7,FALSE)</f>
        <v>OGSM Old Mechanical- Slate Roof &amp; Window Replacement</v>
      </c>
      <c r="F36" s="256">
        <f>VLOOKUP(C36,'Project Status'!C:L,10,FALSE)</f>
        <v>3200000</v>
      </c>
      <c r="G36" s="257">
        <f>VLOOKUP(C36,'Project Status'!C:R,16,FALSE)</f>
        <v>0</v>
      </c>
      <c r="H36" s="258">
        <f>VLOOKUP(C36,'Project Status'!C:S,17,FALSE)</f>
        <v>1600000</v>
      </c>
      <c r="I36" s="262">
        <f>VLOOKUP(C36,'Project Status'!C:V,20,FALSE)</f>
        <v>1600000</v>
      </c>
    </row>
    <row r="37" spans="1:9" x14ac:dyDescent="0.4">
      <c r="A37" s="96">
        <f t="shared" si="0"/>
        <v>32</v>
      </c>
      <c r="B37" t="str">
        <f>VLOOKUP(C37,'Project Status'!C:J,8,FALSE)</f>
        <v>Finalized</v>
      </c>
      <c r="C37" s="55">
        <v>20792</v>
      </c>
      <c r="D37" s="26" t="str">
        <f>VLOOKUP(C37,'Project Status'!C:G,5,FALSE)</f>
        <v>Law</v>
      </c>
      <c r="E37" t="str">
        <f>VLOOKUP(C37,'Project Status'!C:I,7,FALSE)</f>
        <v>Law School - Sections 1, 2, &amp; 3  Roof Replacement</v>
      </c>
      <c r="F37" s="256">
        <f>VLOOKUP(C37,'Project Status'!C:L,10,FALSE)</f>
        <v>400000</v>
      </c>
      <c r="G37" s="257">
        <f>VLOOKUP(C37,'Project Status'!C:R,16,FALSE)</f>
        <v>483440</v>
      </c>
      <c r="H37" s="258">
        <f>VLOOKUP(C37,'Project Status'!C:S,17,FALSE)</f>
        <v>-32665</v>
      </c>
      <c r="I37" s="262">
        <f>VLOOKUP(C37,'Project Status'!C:V,20,FALSE)</f>
        <v>0</v>
      </c>
    </row>
    <row r="38" spans="1:9" x14ac:dyDescent="0.4">
      <c r="A38" s="96">
        <f t="shared" si="0"/>
        <v>33</v>
      </c>
      <c r="B38" t="str">
        <f>VLOOKUP(C38,'Project Status'!C:J,8,FALSE)</f>
        <v>Construction</v>
      </c>
      <c r="C38" s="55">
        <v>20811</v>
      </c>
      <c r="D38" s="26" t="str">
        <f>VLOOKUP(C38,'Project Status'!C:G,5,FALSE)</f>
        <v>Peabody</v>
      </c>
      <c r="E38" t="str">
        <f>VLOOKUP(C38,'Project Status'!C:I,7,FALSE)</f>
        <v>One Magnolia Circle - Retaining Wall Repair</v>
      </c>
      <c r="F38" s="256">
        <f>VLOOKUP(C38,'Project Status'!C:L,10,FALSE)</f>
        <v>75000</v>
      </c>
      <c r="G38" s="257">
        <f>VLOOKUP(C38,'Project Status'!C:R,16,FALSE)</f>
        <v>0</v>
      </c>
      <c r="H38" s="258">
        <f>VLOOKUP(C38,'Project Status'!C:S,17,FALSE)</f>
        <v>285233.27</v>
      </c>
      <c r="I38" s="262">
        <f>VLOOKUP(C38,'Project Status'!C:V,20,FALSE)</f>
        <v>0</v>
      </c>
    </row>
    <row r="39" spans="1:9" x14ac:dyDescent="0.4">
      <c r="A39" s="96">
        <f t="shared" si="0"/>
        <v>34</v>
      </c>
      <c r="B39" t="str">
        <f>VLOOKUP(C39,'Project Status'!C:J,8,FALSE)</f>
        <v>Finalized</v>
      </c>
      <c r="C39" s="55">
        <v>20831</v>
      </c>
      <c r="D39" s="26" t="str">
        <f>VLOOKUP(C39,'Project Status'!C:G,5,FALSE)</f>
        <v>Arts &amp; Science</v>
      </c>
      <c r="E39" t="str">
        <f>VLOOKUP(C39,'Project Status'!C:I,7,FALSE)</f>
        <v>SC6 - HVAC Upgrades - Feasibility Study</v>
      </c>
      <c r="F39" s="256">
        <f>VLOOKUP(C39,'Project Status'!C:L,10,FALSE)</f>
        <v>24000</v>
      </c>
      <c r="G39" s="257">
        <f>VLOOKUP(C39,'Project Status'!C:R,16,FALSE)</f>
        <v>0</v>
      </c>
      <c r="H39" s="258">
        <f>VLOOKUP(C39,'Project Status'!C:S,17,FALSE)</f>
        <v>24000</v>
      </c>
      <c r="I39" s="262">
        <f>VLOOKUP(C39,'Project Status'!C:V,20,FALSE)</f>
        <v>0</v>
      </c>
    </row>
    <row r="40" spans="1:9" x14ac:dyDescent="0.4">
      <c r="A40" s="96">
        <f t="shared" si="0"/>
        <v>35</v>
      </c>
      <c r="B40" t="str">
        <f>VLOOKUP(C40,'Project Status'!C:J,8,FALSE)</f>
        <v>Finalized</v>
      </c>
      <c r="C40" s="55">
        <v>20832</v>
      </c>
      <c r="D40" s="26" t="str">
        <f>VLOOKUP(C40,'Project Status'!C:G,5,FALSE)</f>
        <v>Arts &amp; Science</v>
      </c>
      <c r="E40" t="str">
        <f>VLOOKUP(C40,'Project Status'!C:I,7,FALSE)</f>
        <v>Wilson Hall - HVAC Replacement</v>
      </c>
      <c r="F40" s="256">
        <f>VLOOKUP(C40,'Project Status'!C:L,10,FALSE)</f>
        <v>24000</v>
      </c>
      <c r="G40" s="257">
        <f>VLOOKUP(C40,'Project Status'!C:R,16,FALSE)</f>
        <v>0</v>
      </c>
      <c r="H40" s="258">
        <f>VLOOKUP(C40,'Project Status'!C:S,17,FALSE)</f>
        <v>24000</v>
      </c>
      <c r="I40" s="262">
        <f>VLOOKUP(C40,'Project Status'!C:V,20,FALSE)</f>
        <v>0</v>
      </c>
    </row>
    <row r="41" spans="1:9" x14ac:dyDescent="0.4">
      <c r="A41" s="96">
        <f t="shared" si="0"/>
        <v>36</v>
      </c>
      <c r="B41" t="str">
        <f>VLOOKUP(C41,'Project Status'!C:J,8,FALSE)</f>
        <v>Financial Closeout</v>
      </c>
      <c r="C41" s="55">
        <v>20833</v>
      </c>
      <c r="D41" s="26" t="str">
        <f>VLOOKUP(C41,'Project Status'!C:G,5,FALSE)</f>
        <v>Arts &amp; Science</v>
      </c>
      <c r="E41" t="str">
        <f>VLOOKUP(C41,'Project Status'!C:I,7,FALSE)</f>
        <v>SC5 - HVAC Replacement</v>
      </c>
      <c r="F41" s="256">
        <f>VLOOKUP(C41,'Project Status'!C:L,10,FALSE)</f>
        <v>24000</v>
      </c>
      <c r="G41" s="257">
        <f>VLOOKUP(C41,'Project Status'!C:R,16,FALSE)</f>
        <v>0</v>
      </c>
      <c r="H41" s="258">
        <f>VLOOKUP(C41,'Project Status'!C:S,17,FALSE)</f>
        <v>24000</v>
      </c>
      <c r="I41" s="262">
        <f>VLOOKUP(C41,'Project Status'!C:V,20,FALSE)</f>
        <v>0</v>
      </c>
    </row>
    <row r="42" spans="1:9" x14ac:dyDescent="0.4">
      <c r="A42" s="96">
        <f t="shared" si="0"/>
        <v>37</v>
      </c>
      <c r="B42" t="str">
        <f>VLOOKUP(C42,'Project Status'!C:J,8,FALSE)</f>
        <v>Finalized</v>
      </c>
      <c r="C42" s="55">
        <v>20834</v>
      </c>
      <c r="D42" s="26" t="str">
        <f>VLOOKUP(C42,'Project Status'!C:G,5,FALSE)</f>
        <v>Peabody</v>
      </c>
      <c r="E42" t="str">
        <f>VLOOKUP(C42,'Project Status'!C:I,7,FALSE)</f>
        <v>Wyatt Center - HVAC Upgrades - Engineering Study</v>
      </c>
      <c r="F42" s="256">
        <f>VLOOKUP(C42,'Project Status'!C:L,10,FALSE)</f>
        <v>5000</v>
      </c>
      <c r="G42" s="257">
        <f>VLOOKUP(C42,'Project Status'!C:R,16,FALSE)</f>
        <v>0</v>
      </c>
      <c r="H42" s="258">
        <f>VLOOKUP(C42,'Project Status'!C:S,17,FALSE)</f>
        <v>0</v>
      </c>
      <c r="I42" s="262">
        <f>VLOOKUP(C42,'Project Status'!C:V,20,FALSE)</f>
        <v>0</v>
      </c>
    </row>
    <row r="43" spans="1:9" x14ac:dyDescent="0.4">
      <c r="A43" s="96">
        <f t="shared" si="0"/>
        <v>38</v>
      </c>
      <c r="B43" t="str">
        <f>VLOOKUP(C43,'Project Status'!C:J,8,FALSE)</f>
        <v>Construction</v>
      </c>
      <c r="C43" s="55">
        <v>20857</v>
      </c>
      <c r="D43" s="26" t="str">
        <f>VLOOKUP(C43,'Project Status'!C:G,5,FALSE)</f>
        <v>Peabody</v>
      </c>
      <c r="E43" t="str">
        <f>VLOOKUP(C43,'Project Status'!C:I,7,FALSE)</f>
        <v>One Magnolia Circle - Elevator Modernization</v>
      </c>
      <c r="F43" s="256">
        <f>VLOOKUP(C43,'Project Status'!C:L,10,FALSE)</f>
        <v>499184</v>
      </c>
      <c r="G43" s="257">
        <f>VLOOKUP(C43,'Project Status'!C:R,16,FALSE)</f>
        <v>0</v>
      </c>
      <c r="H43" s="258">
        <f>VLOOKUP(C43,'Project Status'!C:S,17,FALSE)</f>
        <v>499184</v>
      </c>
      <c r="I43" s="262">
        <f>VLOOKUP(C43,'Project Status'!C:V,20,FALSE)</f>
        <v>0</v>
      </c>
    </row>
    <row r="44" spans="1:9" x14ac:dyDescent="0.4">
      <c r="A44" s="96">
        <f t="shared" si="0"/>
        <v>39</v>
      </c>
      <c r="B44" t="str">
        <f>VLOOKUP(C44,'Project Status'!C:J,8,FALSE)</f>
        <v>Construction</v>
      </c>
      <c r="C44" s="55">
        <v>20884</v>
      </c>
      <c r="D44" s="26" t="str">
        <f>VLOOKUP(C44,'Project Status'!C:G,5,FALSE)</f>
        <v>Law</v>
      </c>
      <c r="E44" t="str">
        <f>VLOOKUP(C44,'Project Status'!C:I,7,FALSE)</f>
        <v>Law School - Exterior Window Painting</v>
      </c>
      <c r="F44" s="256">
        <f>VLOOKUP(C44,'Project Status'!C:L,10,FALSE)</f>
        <v>0</v>
      </c>
      <c r="G44" s="257">
        <f>VLOOKUP(C44,'Project Status'!C:R,16,FALSE)</f>
        <v>0</v>
      </c>
      <c r="H44" s="258">
        <f>VLOOKUP(C44,'Project Status'!C:S,17,FALSE)</f>
        <v>675650</v>
      </c>
      <c r="I44" s="262">
        <f>VLOOKUP(C44,'Project Status'!C:V,20,FALSE)</f>
        <v>0</v>
      </c>
    </row>
    <row r="45" spans="1:9" x14ac:dyDescent="0.4">
      <c r="A45" s="96">
        <f t="shared" si="0"/>
        <v>40</v>
      </c>
      <c r="B45" t="str">
        <f>VLOOKUP(C45,'Project Status'!C:J,8,FALSE)</f>
        <v>Award</v>
      </c>
      <c r="C45" s="55">
        <v>20885</v>
      </c>
      <c r="D45" s="26" t="str">
        <f>VLOOKUP(C45,'Project Status'!C:G,5,FALSE)</f>
        <v>Arts &amp; Science</v>
      </c>
      <c r="E45" t="str">
        <f>VLOOKUP(C45,'Project Status'!C:I,7,FALSE)</f>
        <v>NMR - Replace Air Compressors</v>
      </c>
      <c r="F45" s="256">
        <f>VLOOKUP(C45,'Project Status'!C:L,10,FALSE)</f>
        <v>99000</v>
      </c>
      <c r="G45" s="257">
        <f>VLOOKUP(C45,'Project Status'!C:R,16,FALSE)</f>
        <v>0</v>
      </c>
      <c r="H45" s="258">
        <f>VLOOKUP(C45,'Project Status'!C:S,17,FALSE)</f>
        <v>113053.4</v>
      </c>
      <c r="I45" s="262">
        <f>VLOOKUP(C45,'Project Status'!C:V,20,FALSE)</f>
        <v>0</v>
      </c>
    </row>
    <row r="46" spans="1:9" x14ac:dyDescent="0.4">
      <c r="A46" s="96">
        <f t="shared" si="0"/>
        <v>41</v>
      </c>
      <c r="B46" t="str">
        <f>VLOOKUP(C46,'Project Status'!C:J,8,FALSE)</f>
        <v>Construction</v>
      </c>
      <c r="C46" s="55">
        <v>20911</v>
      </c>
      <c r="D46" s="26" t="str">
        <f>VLOOKUP(C46,'Project Status'!C:G,5,FALSE)</f>
        <v>Arts &amp; Science</v>
      </c>
      <c r="E46" t="str">
        <f>VLOOKUP(C46,'Project Status'!C:I,7,FALSE)</f>
        <v>Buttrick Hall - Elevator Upgrades</v>
      </c>
      <c r="F46" s="256">
        <f>VLOOKUP(C46,'Project Status'!C:L,10,FALSE)</f>
        <v>75000</v>
      </c>
      <c r="G46" s="257">
        <f>VLOOKUP(C46,'Project Status'!C:R,16,FALSE)</f>
        <v>0</v>
      </c>
      <c r="H46" s="258">
        <f>VLOOKUP(C46,'Project Status'!C:S,17,FALSE)</f>
        <v>61045</v>
      </c>
      <c r="I46" s="262">
        <f>VLOOKUP(C46,'Project Status'!C:V,20,FALSE)</f>
        <v>0</v>
      </c>
    </row>
    <row r="47" spans="1:9" x14ac:dyDescent="0.4">
      <c r="A47" s="96">
        <f t="shared" si="0"/>
        <v>42</v>
      </c>
      <c r="B47" t="str">
        <f>VLOOKUP(C47,'Project Status'!C:J,8,FALSE)</f>
        <v>Construction</v>
      </c>
      <c r="C47" s="55">
        <v>20912</v>
      </c>
      <c r="D47" s="26" t="str">
        <f>VLOOKUP(C47,'Project Status'!C:G,5,FALSE)</f>
        <v>Arts &amp; Science</v>
      </c>
      <c r="E47" t="str">
        <f>VLOOKUP(C47,'Project Status'!C:I,7,FALSE)</f>
        <v>Benson Hall - Elevator Upgrades</v>
      </c>
      <c r="F47" s="256">
        <f>VLOOKUP(C47,'Project Status'!C:L,10,FALSE)</f>
        <v>75000</v>
      </c>
      <c r="G47" s="257">
        <f>VLOOKUP(C47,'Project Status'!C:R,16,FALSE)</f>
        <v>0</v>
      </c>
      <c r="H47" s="258">
        <f>VLOOKUP(C47,'Project Status'!C:S,17,FALSE)</f>
        <v>59798</v>
      </c>
      <c r="I47" s="262">
        <f>VLOOKUP(C47,'Project Status'!C:V,20,FALSE)</f>
        <v>0</v>
      </c>
    </row>
    <row r="48" spans="1:9" x14ac:dyDescent="0.4">
      <c r="A48" s="96">
        <f t="shared" si="0"/>
        <v>43</v>
      </c>
      <c r="B48" t="str">
        <f>VLOOKUP(C48,'Project Status'!C:J,8,FALSE)</f>
        <v>Construction</v>
      </c>
      <c r="C48" s="55">
        <v>20913</v>
      </c>
      <c r="D48" s="26" t="str">
        <f>VLOOKUP(C48,'Project Status'!C:G,5,FALSE)</f>
        <v>Arts &amp; Science</v>
      </c>
      <c r="E48" t="str">
        <f>VLOOKUP(C48,'Project Status'!C:I,7,FALSE)</f>
        <v>Wilson Hall - Elevator Upgrades</v>
      </c>
      <c r="F48" s="256">
        <f>VLOOKUP(C48,'Project Status'!C:L,10,FALSE)</f>
        <v>75000</v>
      </c>
      <c r="G48" s="257">
        <f>VLOOKUP(C48,'Project Status'!C:R,16,FALSE)</f>
        <v>0</v>
      </c>
      <c r="H48" s="258">
        <f>VLOOKUP(C48,'Project Status'!C:S,17,FALSE)</f>
        <v>96612</v>
      </c>
      <c r="I48" s="262">
        <f>VLOOKUP(C48,'Project Status'!C:V,20,FALSE)</f>
        <v>0</v>
      </c>
    </row>
    <row r="49" spans="1:9" x14ac:dyDescent="0.4">
      <c r="A49" s="96">
        <f t="shared" si="0"/>
        <v>44</v>
      </c>
      <c r="B49" t="str">
        <f>VLOOKUP(C49,'Project Status'!C:J,8,FALSE)</f>
        <v>Award</v>
      </c>
      <c r="C49" s="55">
        <v>20922</v>
      </c>
      <c r="D49" s="26" t="str">
        <f>VLOOKUP(C49,'Project Status'!C:G,5,FALSE)</f>
        <v>Arts &amp; Science</v>
      </c>
      <c r="E49" t="str">
        <f>VLOOKUP(C49,'Project Status'!C:I,7,FALSE)</f>
        <v>Vaughn Home - Exterior Improvements</v>
      </c>
      <c r="F49" s="256">
        <f>VLOOKUP(C49,'Project Status'!C:L,10,FALSE)</f>
        <v>170000</v>
      </c>
      <c r="G49" s="257">
        <f>VLOOKUP(C49,'Project Status'!C:R,16,FALSE)</f>
        <v>0</v>
      </c>
      <c r="H49" s="258">
        <f>VLOOKUP(C49,'Project Status'!C:S,17,FALSE)</f>
        <v>197150</v>
      </c>
      <c r="I49" s="262">
        <f>VLOOKUP(C49,'Project Status'!C:V,20,FALSE)</f>
        <v>0</v>
      </c>
    </row>
    <row r="50" spans="1:9" x14ac:dyDescent="0.4">
      <c r="A50" s="96">
        <f t="shared" si="0"/>
        <v>45</v>
      </c>
      <c r="B50" t="str">
        <f>VLOOKUP(C50,'Project Status'!C:J,8,FALSE)</f>
        <v>Construction</v>
      </c>
      <c r="C50" s="55">
        <v>20924</v>
      </c>
      <c r="D50" s="26" t="str">
        <f>VLOOKUP(C50,'Project Status'!C:G,5,FALSE)</f>
        <v>Nursing</v>
      </c>
      <c r="E50" t="str">
        <f>VLOOKUP(C50,'Project Status'!C:I,7,FALSE)</f>
        <v>Frist Hall - Stairwell Roof Replacement</v>
      </c>
      <c r="F50" s="256">
        <f>VLOOKUP(C50,'Project Status'!C:L,10,FALSE)</f>
        <v>0</v>
      </c>
      <c r="G50" s="257">
        <f>VLOOKUP(C50,'Project Status'!C:R,16,FALSE)</f>
        <v>0</v>
      </c>
      <c r="H50" s="258">
        <f>VLOOKUP(C50,'Project Status'!C:S,17,FALSE)</f>
        <v>30570</v>
      </c>
      <c r="I50" s="262">
        <f>VLOOKUP(C50,'Project Status'!C:V,20,FALSE)</f>
        <v>0</v>
      </c>
    </row>
    <row r="51" spans="1:9" x14ac:dyDescent="0.4">
      <c r="A51" s="96">
        <f t="shared" si="0"/>
        <v>46</v>
      </c>
      <c r="B51" t="str">
        <f>VLOOKUP(C51,'Project Status'!C:J,8,FALSE)</f>
        <v>Not Started</v>
      </c>
      <c r="C51" s="55">
        <v>20925</v>
      </c>
      <c r="D51" s="26" t="str">
        <f>VLOOKUP(C51,'Project Status'!C:G,5,FALSE)</f>
        <v>Blair</v>
      </c>
      <c r="E51" t="str">
        <f>VLOOKUP(C51,'Project Status'!C:I,7,FALSE)</f>
        <v>Blair School of Music - AHU 2/3 Replacement  - Phase 2 - FY26</v>
      </c>
      <c r="F51" s="256">
        <f>VLOOKUP(C51,'Project Status'!C:L,10,FALSE)</f>
        <v>2750000</v>
      </c>
      <c r="G51" s="257">
        <f>VLOOKUP(C51,'Project Status'!C:R,16,FALSE)</f>
        <v>0</v>
      </c>
      <c r="H51" s="258">
        <f>VLOOKUP(C51,'Project Status'!C:S,17,FALSE)</f>
        <v>0</v>
      </c>
      <c r="I51" s="262">
        <f>VLOOKUP(C51,'Project Status'!C:V,20,FALSE)</f>
        <v>0</v>
      </c>
    </row>
    <row r="52" spans="1:9" x14ac:dyDescent="0.4">
      <c r="A52" s="96">
        <f t="shared" si="0"/>
        <v>47</v>
      </c>
      <c r="B52" t="str">
        <f>VLOOKUP(C52,'Project Status'!C:J,8,FALSE)</f>
        <v>Not Started</v>
      </c>
      <c r="C52" s="55">
        <v>20934</v>
      </c>
      <c r="D52" s="26" t="str">
        <f>VLOOKUP(C52,'Project Status'!C:G,5,FALSE)</f>
        <v>Arts &amp; Science</v>
      </c>
      <c r="E52" t="str">
        <f>VLOOKUP(C52,'Project Status'!C:I,7,FALSE)</f>
        <v>Neely Auditorium - MEP Feasibility Study</v>
      </c>
      <c r="F52" s="256">
        <f>VLOOKUP(C52,'Project Status'!C:L,10,FALSE)</f>
        <v>0</v>
      </c>
      <c r="G52" s="257">
        <f>VLOOKUP(C52,'Project Status'!C:R,16,FALSE)</f>
        <v>0</v>
      </c>
      <c r="H52" s="258">
        <f>VLOOKUP(C52,'Project Status'!C:S,17,FALSE)</f>
        <v>0</v>
      </c>
      <c r="I52" s="262" t="str">
        <f>VLOOKUP(C52,'Project Status'!C:V,20,FALSE)</f>
        <v>TBD</v>
      </c>
    </row>
    <row r="53" spans="1:9" x14ac:dyDescent="0.4">
      <c r="A53" s="96">
        <f t="shared" si="0"/>
        <v>48</v>
      </c>
      <c r="B53" t="str">
        <f>VLOOKUP(C53,'Project Status'!C:J,8,FALSE)</f>
        <v>Construction</v>
      </c>
      <c r="C53" s="55">
        <v>20936</v>
      </c>
      <c r="D53" s="26" t="str">
        <f>VLOOKUP(C53,'Project Status'!C:G,5,FALSE)</f>
        <v>Arts &amp; Science</v>
      </c>
      <c r="E53" t="str">
        <f>VLOOKUP(C53,'Project Status'!C:I,7,FALSE)</f>
        <v>Wilson Hall - Lighting Retrofit for 103 and 126</v>
      </c>
      <c r="F53" s="256">
        <f>VLOOKUP(C53,'Project Status'!C:L,10,FALSE)</f>
        <v>405000</v>
      </c>
      <c r="G53" s="257">
        <f>VLOOKUP(C53,'Project Status'!C:R,16,FALSE)</f>
        <v>0</v>
      </c>
      <c r="H53" s="258">
        <f>VLOOKUP(C53,'Project Status'!C:S,17,FALSE)</f>
        <v>404655.91</v>
      </c>
      <c r="I53" s="262">
        <f>VLOOKUP(C53,'Project Status'!C:V,20,FALSE)</f>
        <v>0</v>
      </c>
    </row>
    <row r="54" spans="1:9" x14ac:dyDescent="0.4">
      <c r="A54" s="96">
        <f t="shared" si="0"/>
        <v>49</v>
      </c>
      <c r="B54" t="str">
        <f>VLOOKUP(C54,'Project Status'!C:J,8,FALSE)</f>
        <v>Programming or Planning</v>
      </c>
      <c r="C54" s="55">
        <v>20940</v>
      </c>
      <c r="D54" s="26" t="str">
        <f>VLOOKUP(C54,'Project Status'!C:G,5,FALSE)</f>
        <v>Engineering</v>
      </c>
      <c r="E54" t="str">
        <f>VLOOKUP(C54,'Project Status'!C:I,7,FALSE)</f>
        <v>1025 16th Avenue - Security System Replacement</v>
      </c>
      <c r="F54" s="256">
        <f>VLOOKUP(C54,'Project Status'!C:L,10,FALSE)</f>
        <v>0</v>
      </c>
      <c r="G54" s="257">
        <f>VLOOKUP(C54,'Project Status'!C:R,16,FALSE)</f>
        <v>0</v>
      </c>
      <c r="H54" s="258">
        <f>VLOOKUP(C54,'Project Status'!C:S,17,FALSE)</f>
        <v>0</v>
      </c>
      <c r="I54" s="262" t="str">
        <f>VLOOKUP(C54,'Project Status'!C:V,20,FALSE)</f>
        <v>TBD</v>
      </c>
    </row>
    <row r="55" spans="1:9" x14ac:dyDescent="0.4">
      <c r="A55" s="96">
        <f t="shared" si="0"/>
        <v>50</v>
      </c>
      <c r="B55" t="str">
        <f>VLOOKUP(C55,'Project Status'!C:J,8,FALSE)</f>
        <v>Construction</v>
      </c>
      <c r="C55" s="55">
        <v>20945</v>
      </c>
      <c r="D55" s="26" t="str">
        <f>VLOOKUP(C55,'Project Status'!C:G,5,FALSE)</f>
        <v>Other</v>
      </c>
      <c r="E55" t="str">
        <f>VLOOKUP(C55,'Project Status'!C:I,7,FALSE)</f>
        <v>Seigenthaler Building - HVAC Improvements</v>
      </c>
      <c r="F55" s="256">
        <f>VLOOKUP(C55,'Project Status'!C:L,10,FALSE)</f>
        <v>99000</v>
      </c>
      <c r="G55" s="257">
        <f>VLOOKUP(C55,'Project Status'!C:R,16,FALSE)</f>
        <v>0</v>
      </c>
      <c r="H55" s="258">
        <f>VLOOKUP(C55,'Project Status'!C:S,17,FALSE)</f>
        <v>99000</v>
      </c>
      <c r="I55" s="262">
        <f>VLOOKUP(C55,'Project Status'!C:V,20,FALSE)</f>
        <v>0</v>
      </c>
    </row>
    <row r="56" spans="1:9" x14ac:dyDescent="0.4">
      <c r="A56" s="96">
        <f t="shared" si="0"/>
        <v>51</v>
      </c>
      <c r="B56" t="str">
        <f>VLOOKUP(C56,'Project Status'!C:J,8,FALSE)</f>
        <v>Design</v>
      </c>
      <c r="C56" s="55">
        <v>20958</v>
      </c>
      <c r="D56" s="26" t="str">
        <f>VLOOKUP(C56,'Project Status'!C:G,5,FALSE)</f>
        <v>Arts &amp; Science</v>
      </c>
      <c r="E56" t="str">
        <f>VLOOKUP(C56,'Project Status'!C:I,7,FALSE)</f>
        <v>Furman Hall - Elevator Modernization</v>
      </c>
      <c r="F56" s="256">
        <f>VLOOKUP(C56,'Project Status'!C:L,10,FALSE)</f>
        <v>290000</v>
      </c>
      <c r="G56" s="257">
        <f>VLOOKUP(C56,'Project Status'!C:R,16,FALSE)</f>
        <v>0</v>
      </c>
      <c r="H56" s="258">
        <f>VLOOKUP(C56,'Project Status'!C:S,17,FALSE)</f>
        <v>18175</v>
      </c>
      <c r="I56" s="262" t="str">
        <f>VLOOKUP(C56,'Project Status'!C:V,20,FALSE)</f>
        <v>TBD</v>
      </c>
    </row>
    <row r="57" spans="1:9" x14ac:dyDescent="0.4">
      <c r="A57" s="96">
        <f t="shared" si="0"/>
        <v>52</v>
      </c>
      <c r="B57" t="str">
        <f>VLOOKUP(C57,'Project Status'!C:J,8,FALSE)</f>
        <v>Programming or Planning</v>
      </c>
      <c r="C57" s="55">
        <v>20962</v>
      </c>
      <c r="D57" s="26" t="str">
        <f>VLOOKUP(C57,'Project Status'!C:G,5,FALSE)</f>
        <v>Arts &amp; Science</v>
      </c>
      <c r="E57" t="str">
        <f>VLOOKUP(C57,'Project Status'!C:I,7,FALSE)</f>
        <v>Vaughn Home - Roof Replacement</v>
      </c>
      <c r="F57" s="256">
        <f>VLOOKUP(C57,'Project Status'!C:L,10,FALSE)</f>
        <v>0</v>
      </c>
      <c r="G57" s="257">
        <f>VLOOKUP(C57,'Project Status'!C:R,16,FALSE)</f>
        <v>0</v>
      </c>
      <c r="H57" s="258">
        <f>VLOOKUP(C57,'Project Status'!C:S,17,FALSE)</f>
        <v>0</v>
      </c>
      <c r="I57" s="262" t="str">
        <f>VLOOKUP(C57,'Project Status'!C:V,20,FALSE)</f>
        <v>TBD</v>
      </c>
    </row>
    <row r="58" spans="1:9" x14ac:dyDescent="0.4">
      <c r="A58" s="96">
        <f t="shared" si="0"/>
        <v>53</v>
      </c>
      <c r="B58" t="str">
        <f>VLOOKUP(C58,'Project Status'!C:J,8,FALSE)</f>
        <v>Not Started</v>
      </c>
      <c r="C58" s="55">
        <v>20979</v>
      </c>
      <c r="D58" s="26" t="str">
        <f>VLOOKUP(C58,'Project Status'!C:G,5,FALSE)</f>
        <v>Engineering</v>
      </c>
      <c r="E58" t="str">
        <f>VLOOKUP(C58,'Project Status'!C:I,7,FALSE)</f>
        <v>1025 16th Avenue - Roof Replacement</v>
      </c>
      <c r="F58" s="256">
        <f>VLOOKUP(C58,'Project Status'!C:L,10,FALSE)</f>
        <v>0</v>
      </c>
      <c r="G58" s="257">
        <f>VLOOKUP(C58,'Project Status'!C:R,16,FALSE)</f>
        <v>0</v>
      </c>
      <c r="H58" s="258">
        <f>VLOOKUP(C58,'Project Status'!C:S,17,FALSE)</f>
        <v>0</v>
      </c>
      <c r="I58" s="262">
        <f>VLOOKUP(C58,'Project Status'!C:V,20,FALSE)</f>
        <v>0</v>
      </c>
    </row>
    <row r="59" spans="1:9" x14ac:dyDescent="0.4">
      <c r="A59" s="96">
        <f t="shared" si="0"/>
        <v>54</v>
      </c>
      <c r="B59" t="str">
        <f>VLOOKUP(C59,'Project Status'!C:J,8,FALSE)</f>
        <v>Programming or Planning</v>
      </c>
      <c r="C59" s="55">
        <v>20982</v>
      </c>
      <c r="D59" s="26" t="str">
        <f>VLOOKUP(C59,'Project Status'!C:G,5,FALSE)</f>
        <v>Law</v>
      </c>
      <c r="E59" t="str">
        <f>VLOOKUP(C59,'Project Status'!C:I,7,FALSE)</f>
        <v>Law School - Elevator 1 Modernization</v>
      </c>
      <c r="F59" s="256">
        <f>VLOOKUP(C59,'Project Status'!C:L,10,FALSE)</f>
        <v>270000</v>
      </c>
      <c r="G59" s="257">
        <f>VLOOKUP(C59,'Project Status'!C:R,16,FALSE)</f>
        <v>0</v>
      </c>
      <c r="H59" s="258">
        <f>VLOOKUP(C59,'Project Status'!C:S,17,FALSE)</f>
        <v>18175</v>
      </c>
      <c r="I59" s="262" t="str">
        <f>VLOOKUP(C59,'Project Status'!C:V,20,FALSE)</f>
        <v>TBD</v>
      </c>
    </row>
    <row r="60" spans="1:9" s="20" customFormat="1" x14ac:dyDescent="0.4">
      <c r="B60"/>
      <c r="F60" s="116">
        <f>SUM(F6:F59)</f>
        <v>37472926.759999998</v>
      </c>
      <c r="G60" s="72">
        <f>SUM(G6:G59)</f>
        <v>8797286.2599999998</v>
      </c>
      <c r="H60" s="73">
        <f>SUM(H6:H59)</f>
        <v>11427472.939999999</v>
      </c>
      <c r="I60" s="260">
        <f>SUM(I6:I59)</f>
        <v>4439500</v>
      </c>
    </row>
    <row r="61" spans="1:9" s="20" customFormat="1" x14ac:dyDescent="0.4">
      <c r="B61"/>
      <c r="F61" s="66"/>
      <c r="G61" s="66"/>
      <c r="H61" s="66"/>
      <c r="I61" s="66"/>
    </row>
  </sheetData>
  <sortState xmlns:xlrd2="http://schemas.microsoft.com/office/spreadsheetml/2017/richdata2" ref="B6:G27">
    <sortCondition ref="B6:B27"/>
    <sortCondition ref="D6:D27"/>
  </sortState>
  <pageMargins left="0.7" right="0.7" top="0.75" bottom="0.75" header="0.3" footer="0.3"/>
  <pageSetup scale="73" fitToHeight="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Award</v>
      </c>
      <c r="G4" s="11" t="str">
        <f>VLOOKUP(A4,'Project Status'!C:K,9,FALSE)</f>
        <v>Sean Rewers</v>
      </c>
      <c r="H4" s="89">
        <f>VLOOKUP(A4,'Project Status'!C:M,11,FALSE)</f>
        <v>499093</v>
      </c>
    </row>
    <row r="8" spans="1:11" x14ac:dyDescent="0.4">
      <c r="E8" s="41" t="s">
        <v>124</v>
      </c>
    </row>
    <row r="9" spans="1:11" x14ac:dyDescent="0.4">
      <c r="E9" s="22" t="s">
        <v>265</v>
      </c>
      <c r="F9" s="33" t="s">
        <v>139</v>
      </c>
      <c r="H9" s="98">
        <v>499093</v>
      </c>
    </row>
    <row r="10" spans="1:11" x14ac:dyDescent="0.4">
      <c r="E10" s="22"/>
      <c r="H10" s="42"/>
    </row>
    <row r="18" spans="5:8" x14ac:dyDescent="0.4">
      <c r="E18" s="136" t="s">
        <v>264</v>
      </c>
      <c r="F18" s="137"/>
      <c r="G18" s="136"/>
      <c r="H18" s="138">
        <f>SUM(H9:H17)</f>
        <v>499093</v>
      </c>
    </row>
    <row r="20" spans="5:8" x14ac:dyDescent="0.4">
      <c r="E20" s="139" t="s">
        <v>136</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Finalized</v>
      </c>
      <c r="G4" s="11" t="str">
        <f>VLOOKUP(A4,'Project Status'!C:K,9,FALSE)</f>
        <v>Ben Bedock</v>
      </c>
      <c r="H4" s="89">
        <f>VLOOKUP(A4,'Project Status'!C:M,11,FALSE)</f>
        <v>239341</v>
      </c>
      <c r="I4" s="174">
        <f>VLOOKUP(B4,'Project Status'!D:N,11,FALSE)</f>
        <v>209419</v>
      </c>
    </row>
    <row r="8" spans="1:11" x14ac:dyDescent="0.4">
      <c r="E8" s="41" t="s">
        <v>124</v>
      </c>
    </row>
    <row r="9" spans="1:11" x14ac:dyDescent="0.4">
      <c r="E9" s="22" t="s">
        <v>215</v>
      </c>
      <c r="F9" s="33" t="s">
        <v>139</v>
      </c>
      <c r="H9" s="42">
        <v>13550</v>
      </c>
    </row>
    <row r="10" spans="1:11" x14ac:dyDescent="0.4">
      <c r="E10" s="22" t="s">
        <v>231</v>
      </c>
      <c r="F10" t="s">
        <v>214</v>
      </c>
      <c r="H10" s="42">
        <v>225791</v>
      </c>
    </row>
    <row r="11" spans="1:11" x14ac:dyDescent="0.4">
      <c r="E11" s="22" t="s">
        <v>373</v>
      </c>
      <c r="F11" t="s">
        <v>385</v>
      </c>
      <c r="H11" s="42">
        <v>-29922</v>
      </c>
    </row>
    <row r="18" spans="5:8" x14ac:dyDescent="0.4">
      <c r="E18" s="136" t="s">
        <v>264</v>
      </c>
      <c r="F18" s="137"/>
      <c r="G18" s="136"/>
      <c r="H18" s="138">
        <f>SUM(H9:H17)</f>
        <v>209419</v>
      </c>
    </row>
    <row r="20" spans="5:8" x14ac:dyDescent="0.4">
      <c r="E20" s="139" t="s">
        <v>136</v>
      </c>
      <c r="F20" s="139"/>
      <c r="G20" s="139"/>
      <c r="H20" s="140">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Finalized</v>
      </c>
      <c r="G4" s="11" t="str">
        <f>VLOOKUP(A4,'Project Status'!C:K,9,FALSE)</f>
        <v>Erin Fry</v>
      </c>
      <c r="H4" s="89">
        <f>VLOOKUP(A4,'Project Status'!C:M,11,FALSE)</f>
        <v>715000</v>
      </c>
      <c r="I4" s="174">
        <f>VLOOKUP(B4,'Project Status'!D:N,11,FALSE)</f>
        <v>656784.6</v>
      </c>
    </row>
    <row r="8" spans="1:11" x14ac:dyDescent="0.4">
      <c r="E8" s="41" t="s">
        <v>124</v>
      </c>
    </row>
    <row r="9" spans="1:11" x14ac:dyDescent="0.4">
      <c r="E9" s="22" t="s">
        <v>277</v>
      </c>
      <c r="F9" s="33" t="s">
        <v>276</v>
      </c>
      <c r="H9" s="42">
        <v>96166</v>
      </c>
    </row>
    <row r="10" spans="1:11" x14ac:dyDescent="0.4">
      <c r="E10" s="22"/>
      <c r="F10" s="20" t="s">
        <v>279</v>
      </c>
      <c r="H10" s="42"/>
    </row>
    <row r="11" spans="1:11" x14ac:dyDescent="0.4">
      <c r="E11" s="32" t="s">
        <v>281</v>
      </c>
      <c r="H11" s="97">
        <f>715000-96166</f>
        <v>618834</v>
      </c>
    </row>
    <row r="13" spans="1:11" x14ac:dyDescent="0.4">
      <c r="H13" s="44">
        <f>SUM(H9:H11)</f>
        <v>715000</v>
      </c>
    </row>
    <row r="18" spans="5:8" x14ac:dyDescent="0.4">
      <c r="E18" s="136" t="s">
        <v>264</v>
      </c>
      <c r="F18" s="137"/>
      <c r="G18" s="136"/>
      <c r="H18" s="138">
        <f>H9</f>
        <v>96166</v>
      </c>
    </row>
    <row r="20" spans="5:8" x14ac:dyDescent="0.4">
      <c r="E20" s="139" t="s">
        <v>136</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56.152343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Award</v>
      </c>
      <c r="G4" s="11" t="str">
        <f>VLOOKUP(A4,'Project Status'!C:K,9,FALSE)</f>
        <v>Andy Maddox</v>
      </c>
      <c r="H4" s="89">
        <f>VLOOKUP(A4,'Project Status'!C:M,11,FALSE)</f>
        <v>160500</v>
      </c>
    </row>
    <row r="8" spans="1:11" x14ac:dyDescent="0.4">
      <c r="E8" s="41" t="s">
        <v>124</v>
      </c>
    </row>
    <row r="9" spans="1:11" x14ac:dyDescent="0.4">
      <c r="E9" s="22" t="s">
        <v>249</v>
      </c>
      <c r="F9" s="33"/>
      <c r="H9" s="42">
        <v>24500</v>
      </c>
    </row>
    <row r="10" spans="1:11" x14ac:dyDescent="0.4">
      <c r="E10" s="22" t="s">
        <v>265</v>
      </c>
      <c r="H10" s="42">
        <v>136000</v>
      </c>
    </row>
    <row r="18" spans="5:8" x14ac:dyDescent="0.4">
      <c r="E18" s="136" t="s">
        <v>264</v>
      </c>
      <c r="F18" s="137"/>
      <c r="G18" s="136"/>
      <c r="H18" s="138">
        <f>SUM(H9:H17)</f>
        <v>160500</v>
      </c>
    </row>
    <row r="20" spans="5:8" x14ac:dyDescent="0.4">
      <c r="E20" s="139" t="s">
        <v>136</v>
      </c>
      <c r="F20" s="139"/>
      <c r="G20" s="139"/>
      <c r="H20" s="140">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828125" bestFit="1" customWidth="1"/>
    <col min="7" max="7" width="11"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Status'!C:J,8,FALSE)</f>
        <v>Construction</v>
      </c>
      <c r="G4" s="11" t="str">
        <f>VLOOKUP(A4,'Project Status'!C:K,9,FALSE)</f>
        <v>Hans Mooy</v>
      </c>
      <c r="H4" s="89">
        <f>VLOOKUP(A4,'Project Status'!C:M,11,FALSE)</f>
        <v>1987500</v>
      </c>
    </row>
    <row r="8" spans="1:11" x14ac:dyDescent="0.4">
      <c r="E8" s="41" t="s">
        <v>124</v>
      </c>
    </row>
    <row r="9" spans="1:11" x14ac:dyDescent="0.4">
      <c r="E9" t="s">
        <v>238</v>
      </c>
      <c r="F9" t="s">
        <v>139</v>
      </c>
      <c r="H9" s="42">
        <v>23400</v>
      </c>
    </row>
    <row r="10" spans="1:11" x14ac:dyDescent="0.4">
      <c r="E10" t="s">
        <v>355</v>
      </c>
      <c r="F10" t="s">
        <v>214</v>
      </c>
      <c r="H10" s="42">
        <v>1964100</v>
      </c>
    </row>
    <row r="12" spans="1:11" x14ac:dyDescent="0.4">
      <c r="F12" s="10"/>
      <c r="G12" s="10"/>
      <c r="H12" s="45"/>
    </row>
    <row r="18" spans="5:8" x14ac:dyDescent="0.4">
      <c r="E18" s="136" t="s">
        <v>264</v>
      </c>
      <c r="F18" s="137"/>
      <c r="G18" s="136"/>
      <c r="H18" s="138">
        <f>SUM(H9:H17)</f>
        <v>1987500</v>
      </c>
    </row>
    <row r="20" spans="5:8" x14ac:dyDescent="0.4">
      <c r="E20" s="139" t="s">
        <v>136</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Financial Closeout</v>
      </c>
      <c r="G4" s="11" t="str">
        <f>VLOOKUP(A4,'Project Status'!C:K,9,FALSE)</f>
        <v>Ben Bedock</v>
      </c>
      <c r="H4" s="89">
        <f>VLOOKUP(A4,'Project Status'!C:M,11,FALSE)</f>
        <v>300000</v>
      </c>
      <c r="I4" s="174">
        <f>VLOOKUP(B4,'Project Status'!D:N,11,FALSE)</f>
        <v>276500</v>
      </c>
    </row>
    <row r="8" spans="1:11" x14ac:dyDescent="0.4">
      <c r="E8" s="41" t="s">
        <v>124</v>
      </c>
    </row>
    <row r="9" spans="1:11" x14ac:dyDescent="0.4">
      <c r="E9" s="22" t="s">
        <v>272</v>
      </c>
      <c r="F9" t="s">
        <v>139</v>
      </c>
      <c r="H9" s="42">
        <v>300000</v>
      </c>
    </row>
    <row r="10" spans="1:11" x14ac:dyDescent="0.4">
      <c r="E10" s="22" t="s">
        <v>442</v>
      </c>
      <c r="F10" t="s">
        <v>302</v>
      </c>
      <c r="H10" s="42">
        <v>-23500</v>
      </c>
    </row>
    <row r="12" spans="1:11" x14ac:dyDescent="0.4">
      <c r="F12" s="10"/>
      <c r="G12" s="10"/>
      <c r="H12" s="45"/>
    </row>
    <row r="18" spans="5:8" x14ac:dyDescent="0.4">
      <c r="E18" s="136" t="s">
        <v>264</v>
      </c>
      <c r="F18" s="137"/>
      <c r="G18" s="136"/>
      <c r="H18" s="138">
        <f>SUM(H9:H17)</f>
        <v>276500</v>
      </c>
    </row>
    <row r="20" spans="5:8" x14ac:dyDescent="0.4">
      <c r="E20" s="139" t="s">
        <v>136</v>
      </c>
      <c r="F20" s="139"/>
      <c r="G20" s="139"/>
      <c r="H20" s="140">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Status'!C:J,8,FALSE)</f>
        <v>Construction</v>
      </c>
      <c r="G4" s="11" t="str">
        <f>VLOOKUP(A4,'Project Status'!C:K,9,FALSE)</f>
        <v>Jay Surprenant</v>
      </c>
      <c r="H4" s="89">
        <f>VLOOKUP(A4,'Project Status'!C:M,11,FALSE)</f>
        <v>148299</v>
      </c>
      <c r="I4" s="174">
        <f>VLOOKUP(B4,'Project Status'!D:N,11,FALSE)</f>
        <v>125699</v>
      </c>
    </row>
    <row r="8" spans="1:11" x14ac:dyDescent="0.4">
      <c r="E8" s="41" t="s">
        <v>124</v>
      </c>
    </row>
    <row r="9" spans="1:11" x14ac:dyDescent="0.4">
      <c r="E9" s="22" t="s">
        <v>390</v>
      </c>
      <c r="F9" t="s">
        <v>139</v>
      </c>
      <c r="H9" s="42">
        <v>148299</v>
      </c>
    </row>
    <row r="10" spans="1:11" x14ac:dyDescent="0.4">
      <c r="E10" s="22"/>
    </row>
    <row r="12" spans="1:11" x14ac:dyDescent="0.4">
      <c r="F12" s="10"/>
      <c r="G12" s="10"/>
      <c r="H12" s="45"/>
    </row>
    <row r="18" spans="5:8" x14ac:dyDescent="0.4">
      <c r="E18" s="136" t="s">
        <v>264</v>
      </c>
      <c r="F18" s="137"/>
      <c r="G18" s="136"/>
      <c r="H18" s="138">
        <f>SUM(H9:H17)</f>
        <v>148299</v>
      </c>
    </row>
    <row r="20" spans="5:8" x14ac:dyDescent="0.4">
      <c r="E20" s="139" t="s">
        <v>136</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89">
        <f>VLOOKUP(A4,'Project Status'!C:M,11,FALSE)</f>
        <v>24997</v>
      </c>
      <c r="I4" s="174">
        <f>VLOOKUP(B4,'Project Status'!D:N,11,FALSE)</f>
        <v>17972</v>
      </c>
    </row>
    <row r="8" spans="1:11" x14ac:dyDescent="0.4">
      <c r="E8" s="41" t="s">
        <v>124</v>
      </c>
    </row>
    <row r="9" spans="1:11" x14ac:dyDescent="0.4">
      <c r="E9" s="22" t="s">
        <v>265</v>
      </c>
      <c r="F9" t="s">
        <v>139</v>
      </c>
      <c r="H9" s="42">
        <v>19297</v>
      </c>
    </row>
    <row r="10" spans="1:11" x14ac:dyDescent="0.4">
      <c r="E10" s="22" t="s">
        <v>272</v>
      </c>
      <c r="F10" t="s">
        <v>214</v>
      </c>
      <c r="H10" s="42">
        <v>5700</v>
      </c>
    </row>
    <row r="11" spans="1:11" x14ac:dyDescent="0.4">
      <c r="E11" s="22" t="s">
        <v>336</v>
      </c>
      <c r="F11" t="s">
        <v>302</v>
      </c>
      <c r="H11" s="42">
        <v>-7025</v>
      </c>
    </row>
    <row r="12" spans="1:11" x14ac:dyDescent="0.4">
      <c r="F12" s="10"/>
      <c r="G12" s="10"/>
      <c r="H12" s="45"/>
    </row>
    <row r="18" spans="5:8" x14ac:dyDescent="0.4">
      <c r="E18" s="136" t="s">
        <v>264</v>
      </c>
      <c r="F18" s="137"/>
      <c r="G18" s="136"/>
      <c r="H18" s="138">
        <f>SUM(H9:H17)</f>
        <v>17972</v>
      </c>
    </row>
    <row r="20" spans="5:8" x14ac:dyDescent="0.4">
      <c r="E20" s="139" t="s">
        <v>136</v>
      </c>
      <c r="F20" s="139"/>
      <c r="G20" s="139"/>
      <c r="H20" s="140">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Finalized</v>
      </c>
      <c r="G4" s="11" t="str">
        <f>VLOOKUP(A4,'Project Status'!C:K,9,FALSE)</f>
        <v>Ben Bedock</v>
      </c>
      <c r="H4" s="89">
        <f>VLOOKUP(A4,'Project Status'!C:M,11,FALSE)</f>
        <v>483440</v>
      </c>
      <c r="I4" s="174">
        <f>VLOOKUP(B4,'Project Status'!D:N,11,FALSE)</f>
        <v>450775</v>
      </c>
    </row>
    <row r="8" spans="1:11" x14ac:dyDescent="0.4">
      <c r="E8" s="41" t="s">
        <v>124</v>
      </c>
    </row>
    <row r="9" spans="1:11" x14ac:dyDescent="0.4">
      <c r="E9" s="22" t="s">
        <v>301</v>
      </c>
      <c r="F9" t="s">
        <v>139</v>
      </c>
      <c r="H9" s="42">
        <v>483440</v>
      </c>
    </row>
    <row r="10" spans="1:11" x14ac:dyDescent="0.4">
      <c r="E10" s="22" t="s">
        <v>373</v>
      </c>
      <c r="F10" t="s">
        <v>385</v>
      </c>
      <c r="H10" s="42">
        <v>-32665</v>
      </c>
    </row>
    <row r="12" spans="1:11" x14ac:dyDescent="0.4">
      <c r="F12" s="10"/>
      <c r="G12" s="10"/>
      <c r="H12" s="45"/>
    </row>
    <row r="18" spans="5:8" x14ac:dyDescent="0.4">
      <c r="E18" s="136" t="s">
        <v>264</v>
      </c>
      <c r="F18" s="137"/>
      <c r="G18" s="136"/>
      <c r="H18" s="138">
        <f>SUM(H9:H17)</f>
        <v>450775</v>
      </c>
    </row>
    <row r="20" spans="5:8" x14ac:dyDescent="0.4">
      <c r="E20" s="139" t="s">
        <v>136</v>
      </c>
      <c r="F20" s="139"/>
      <c r="G20" s="139"/>
      <c r="H20" s="140">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6.38281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Finalized</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325</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6"/>
  <sheetViews>
    <sheetView zoomScaleNormal="100" workbookViewId="0">
      <selection activeCell="K14" activeCellId="2" sqref="C14 G14 K14"/>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323</v>
      </c>
    </row>
    <row r="2" spans="1:13" s="8" customFormat="1" x14ac:dyDescent="0.4">
      <c r="A2" s="20"/>
      <c r="B2" s="34"/>
      <c r="E2" s="20"/>
      <c r="F2" s="34"/>
      <c r="I2" s="20"/>
      <c r="J2" s="34"/>
    </row>
    <row r="3" spans="1:13" ht="14.7" customHeight="1" x14ac:dyDescent="0.4">
      <c r="A3" s="8"/>
      <c r="C3" s="12">
        <v>3.41</v>
      </c>
      <c r="E3" s="8"/>
      <c r="G3" s="12">
        <v>3.97</v>
      </c>
      <c r="I3" s="8"/>
      <c r="K3" s="12">
        <v>4.54</v>
      </c>
      <c r="L3" s="87"/>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3"/>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3"/>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3"/>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3"/>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3"/>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3"/>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3"/>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3"/>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3"/>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3"/>
    </row>
    <row r="15" spans="1:13" x14ac:dyDescent="0.4">
      <c r="M15" s="43"/>
    </row>
    <row r="17" spans="1:11" x14ac:dyDescent="0.4">
      <c r="A17" t="s">
        <v>88</v>
      </c>
      <c r="C17" s="35">
        <f>C14</f>
        <v>9364499</v>
      </c>
      <c r="E17" t="s">
        <v>88</v>
      </c>
      <c r="G17" s="35">
        <f>G14</f>
        <v>11029283.289999999</v>
      </c>
      <c r="I17" t="s">
        <v>88</v>
      </c>
      <c r="K17" s="35">
        <f>K14</f>
        <v>12857284.462265246</v>
      </c>
    </row>
    <row r="18" spans="1:11" x14ac:dyDescent="0.4">
      <c r="A18" t="s">
        <v>209</v>
      </c>
      <c r="C18" s="35">
        <f>'Project Status'!R58</f>
        <v>8797286.2599999998</v>
      </c>
      <c r="E18" t="s">
        <v>209</v>
      </c>
      <c r="G18" s="35">
        <f>'Project Status'!S58</f>
        <v>11427472.939999999</v>
      </c>
      <c r="I18" t="s">
        <v>209</v>
      </c>
      <c r="K18" s="35">
        <f>'Project Status'!V58</f>
        <v>4439500</v>
      </c>
    </row>
    <row r="19" spans="1:11" ht="15" thickBot="1" x14ac:dyDescent="0.45">
      <c r="A19" t="s">
        <v>123</v>
      </c>
      <c r="C19" s="67">
        <f>C17-C18</f>
        <v>567212.74000000022</v>
      </c>
      <c r="E19" t="s">
        <v>123</v>
      </c>
      <c r="G19" s="67">
        <f>G17-G18</f>
        <v>-398189.65000000037</v>
      </c>
      <c r="I19" t="s">
        <v>123</v>
      </c>
      <c r="K19" s="67">
        <f>K17-K18</f>
        <v>8417784.4622652456</v>
      </c>
    </row>
    <row r="24" spans="1:11" x14ac:dyDescent="0.4">
      <c r="A24" s="19"/>
      <c r="E24" s="19"/>
      <c r="I24" s="19"/>
    </row>
    <row r="26" spans="1:11" x14ac:dyDescent="0.4">
      <c r="K26" t="b">
        <f>'Summary_for Web-1'!C15=(Contributions!C14+Contributions!G14+Contributions!K14)</f>
        <v>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30.3828125" bestFit="1" customWidth="1"/>
    <col min="6" max="6" width="17.53515625"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Finalized</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325</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9" max="9" width="11.38281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v>
      </c>
      <c r="F4" s="11" t="str">
        <f>VLOOKUP(A4,'Project Status'!C:J,8,FALSE)</f>
        <v>Financial Closeout</v>
      </c>
      <c r="G4" s="11" t="str">
        <f>VLOOKUP(A4,'Project Status'!C:K,9,FALSE)</f>
        <v>Sean Rewers</v>
      </c>
      <c r="H4" s="89">
        <f>VLOOKUP(A4,'Project Status'!C:M,11,FALSE)</f>
        <v>24000</v>
      </c>
      <c r="I4" s="174">
        <f>VLOOKUP(B4,'Project Status'!D:N,11,FALSE)</f>
        <v>24000</v>
      </c>
    </row>
    <row r="8" spans="1:11" x14ac:dyDescent="0.4">
      <c r="E8" s="41" t="s">
        <v>124</v>
      </c>
    </row>
    <row r="9" spans="1:11" x14ac:dyDescent="0.4">
      <c r="E9" s="22" t="s">
        <v>325</v>
      </c>
      <c r="F9" t="s">
        <v>139</v>
      </c>
      <c r="H9" s="42">
        <v>24000</v>
      </c>
    </row>
    <row r="10" spans="1:11" x14ac:dyDescent="0.4">
      <c r="E10" s="22"/>
      <c r="H10" s="42"/>
    </row>
    <row r="12" spans="1:11" x14ac:dyDescent="0.4">
      <c r="F12" s="10"/>
      <c r="G12" s="10"/>
      <c r="H12" s="45"/>
    </row>
    <row r="18" spans="5:8" x14ac:dyDescent="0.4">
      <c r="E18" s="136" t="s">
        <v>264</v>
      </c>
      <c r="F18" s="137"/>
      <c r="G18" s="136"/>
      <c r="H18" s="138">
        <f>SUM(H9:H17)</f>
        <v>24000</v>
      </c>
    </row>
    <row r="20" spans="5:8" x14ac:dyDescent="0.4">
      <c r="E20" s="139" t="s">
        <v>136</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50.3046875" bestFit="1" customWidth="1"/>
    <col min="6" max="6" width="12.38281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Status'!C:J,8,FALSE)</f>
        <v>Construction</v>
      </c>
      <c r="G4" s="11" t="str">
        <f>VLOOKUP(A4,'Project Status'!C:K,9,FALSE)</f>
        <v>Ben Bedock</v>
      </c>
      <c r="H4" s="89">
        <f>VLOOKUP(A4,'Project Status'!C:M,11,FALSE)</f>
        <v>3200000</v>
      </c>
    </row>
    <row r="8" spans="1:11" x14ac:dyDescent="0.4">
      <c r="E8" s="41" t="s">
        <v>124</v>
      </c>
    </row>
    <row r="9" spans="1:11" x14ac:dyDescent="0.4">
      <c r="E9" s="22" t="s">
        <v>442</v>
      </c>
      <c r="F9" t="s">
        <v>139</v>
      </c>
      <c r="H9" s="42">
        <v>1600000</v>
      </c>
    </row>
    <row r="10" spans="1:11" x14ac:dyDescent="0.4">
      <c r="E10" s="22" t="s">
        <v>464</v>
      </c>
      <c r="F10" t="s">
        <v>139</v>
      </c>
      <c r="H10" s="42">
        <v>1600000</v>
      </c>
    </row>
    <row r="12" spans="1:11" x14ac:dyDescent="0.4">
      <c r="F12" s="10"/>
      <c r="G12" s="10"/>
      <c r="H12" s="45"/>
    </row>
    <row r="18" spans="5:8" x14ac:dyDescent="0.4">
      <c r="E18" s="136" t="s">
        <v>264</v>
      </c>
      <c r="F18" s="137"/>
      <c r="G18" s="136"/>
      <c r="H18" s="138">
        <f>SUM(H9:H17)</f>
        <v>3200000</v>
      </c>
    </row>
    <row r="20" spans="5:8" x14ac:dyDescent="0.4">
      <c r="E20" s="139" t="s">
        <v>136</v>
      </c>
      <c r="F20" s="139"/>
      <c r="G20" s="139"/>
      <c r="H20" s="140">
        <f>H4-H18</f>
        <v>0</v>
      </c>
    </row>
  </sheetData>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theme="4"/>
  </sheetPr>
  <dimension ref="A1:K25"/>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0.3046875" bestFit="1" customWidth="1"/>
    <col min="4" max="4" width="40.53515625" bestFit="1" customWidth="1"/>
    <col min="5" max="5" width="40.3046875" bestFit="1" customWidth="1"/>
    <col min="6" max="6" width="6.304687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20811</v>
      </c>
      <c r="B4" s="11">
        <f>VLOOKUP(A4,'Project Status'!C:D,2,FALSE)</f>
        <v>0</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Status'!C:J,8,FALSE)</f>
        <v>Construction</v>
      </c>
      <c r="G4" s="11" t="str">
        <f>VLOOKUP(A4,'Project Status'!C:K,9,FALSE)</f>
        <v>Ben Bedock</v>
      </c>
      <c r="H4" s="89">
        <f>VLOOKUP(A4,'Project Status'!C:M,11,FALSE)</f>
        <v>285233.27</v>
      </c>
      <c r="I4" s="174"/>
    </row>
    <row r="8" spans="1:11" x14ac:dyDescent="0.4">
      <c r="E8" s="41" t="s">
        <v>124</v>
      </c>
    </row>
    <row r="9" spans="1:11" x14ac:dyDescent="0.4">
      <c r="E9" s="22" t="s">
        <v>399</v>
      </c>
      <c r="F9" t="s">
        <v>139</v>
      </c>
      <c r="H9" s="42">
        <v>285233.27</v>
      </c>
    </row>
    <row r="10" spans="1:11" x14ac:dyDescent="0.4">
      <c r="E10" s="22"/>
    </row>
    <row r="12" spans="1:11" x14ac:dyDescent="0.4">
      <c r="F12" s="10"/>
      <c r="G12" s="10"/>
      <c r="H12" s="45"/>
    </row>
    <row r="18" spans="2:8" x14ac:dyDescent="0.4">
      <c r="E18" s="136" t="s">
        <v>264</v>
      </c>
      <c r="F18" s="137"/>
      <c r="G18" s="136"/>
      <c r="H18" s="138">
        <f>SUM(H9:H17)</f>
        <v>285233.27</v>
      </c>
    </row>
    <row r="20" spans="2:8" x14ac:dyDescent="0.4">
      <c r="E20" s="139" t="s">
        <v>136</v>
      </c>
      <c r="F20" s="139"/>
      <c r="G20" s="139"/>
      <c r="H20" s="140">
        <f>H4-H18</f>
        <v>0</v>
      </c>
    </row>
    <row r="25" spans="2:8" x14ac:dyDescent="0.4">
      <c r="B25" t="s">
        <v>400</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Construction</v>
      </c>
      <c r="G4" s="11" t="str">
        <f>VLOOKUP(A4,'Project Status'!C:K,9,FALSE)</f>
        <v>Ben Bedock</v>
      </c>
      <c r="H4" s="89">
        <f>VLOOKUP(A4,'Project Status'!C:M,11,FALSE)</f>
        <v>499184</v>
      </c>
    </row>
    <row r="8" spans="1:11" x14ac:dyDescent="0.4">
      <c r="E8" s="41" t="s">
        <v>124</v>
      </c>
    </row>
    <row r="9" spans="1:11" x14ac:dyDescent="0.4">
      <c r="E9" s="22" t="s">
        <v>336</v>
      </c>
      <c r="F9" t="s">
        <v>139</v>
      </c>
      <c r="H9" s="42">
        <v>17600</v>
      </c>
    </row>
    <row r="10" spans="1:11" x14ac:dyDescent="0.4">
      <c r="E10" s="22" t="s">
        <v>357</v>
      </c>
      <c r="F10" t="s">
        <v>214</v>
      </c>
      <c r="H10" s="42">
        <v>4000</v>
      </c>
    </row>
    <row r="11" spans="1:11" x14ac:dyDescent="0.4">
      <c r="E11" s="22" t="s">
        <v>390</v>
      </c>
      <c r="F11" t="s">
        <v>146</v>
      </c>
      <c r="H11" s="42">
        <v>477584</v>
      </c>
    </row>
    <row r="12" spans="1:11" x14ac:dyDescent="0.4">
      <c r="F12" s="10"/>
      <c r="G12" s="10"/>
      <c r="H12" s="45"/>
    </row>
    <row r="18" spans="5:8" x14ac:dyDescent="0.4">
      <c r="E18" s="136" t="s">
        <v>264</v>
      </c>
      <c r="F18" s="137"/>
      <c r="G18" s="136"/>
      <c r="H18" s="138">
        <f>SUM(H9:H17)</f>
        <v>499184</v>
      </c>
    </row>
    <row r="20" spans="5:8" x14ac:dyDescent="0.4">
      <c r="E20" s="139" t="s">
        <v>136</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20884</v>
      </c>
      <c r="B4" s="11">
        <f>VLOOKUP(A4,'Project Status'!C:D,2,FALSE)</f>
        <v>0</v>
      </c>
      <c r="C4" s="11" t="str">
        <f>VLOOKUP(A4,'Project Status'!C:E,3,FALSE)</f>
        <v>CP_400251</v>
      </c>
      <c r="D4" s="11" t="str">
        <f>VLOOKUP(A4,'Project Status'!C:F,4,FALSE)</f>
        <v>17100 - Law: Business Affairs</v>
      </c>
      <c r="E4" s="11" t="str">
        <f>VLOOKUP(A4,'Project Status'!C:I,7,FALSE)</f>
        <v>Law School - Exterior Window Painting</v>
      </c>
      <c r="F4" s="11" t="str">
        <f>VLOOKUP(A4,'Project Status'!C:J,8,FALSE)</f>
        <v>Construction</v>
      </c>
      <c r="G4" s="11" t="str">
        <f>VLOOKUP(A4,'Project Status'!C:K,9,FALSE)</f>
        <v>Ben Bedock</v>
      </c>
      <c r="H4" s="89">
        <f>VLOOKUP(A4,'Project Status'!C:M,11,FALSE)</f>
        <v>675650</v>
      </c>
    </row>
    <row r="8" spans="1:11" x14ac:dyDescent="0.4">
      <c r="E8" s="41" t="s">
        <v>124</v>
      </c>
    </row>
    <row r="9" spans="1:11" x14ac:dyDescent="0.4">
      <c r="E9" s="22" t="s">
        <v>399</v>
      </c>
      <c r="F9" t="s">
        <v>146</v>
      </c>
      <c r="H9" s="42">
        <v>675650</v>
      </c>
      <c r="K9" s="42"/>
    </row>
    <row r="10" spans="1:11" x14ac:dyDescent="0.4">
      <c r="E10" s="22"/>
      <c r="H10" s="42"/>
    </row>
    <row r="12" spans="1:11" x14ac:dyDescent="0.4">
      <c r="F12" s="10"/>
      <c r="G12" s="10"/>
      <c r="H12" s="45"/>
    </row>
    <row r="18" spans="5:8" x14ac:dyDescent="0.4">
      <c r="E18" s="136" t="s">
        <v>264</v>
      </c>
      <c r="F18" s="137"/>
      <c r="G18" s="136"/>
      <c r="H18" s="138">
        <f>SUM(H9:H17)</f>
        <v>675650</v>
      </c>
    </row>
    <row r="20" spans="5:8" x14ac:dyDescent="0.4">
      <c r="E20" s="139" t="s">
        <v>136</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Status'!C:J,8,FALSE)</f>
        <v>Award</v>
      </c>
      <c r="G4" s="11" t="str">
        <f>VLOOKUP(A4,'Project Status'!C:K,9,FALSE)</f>
        <v>Sean Rewers</v>
      </c>
      <c r="H4" s="89">
        <f>VLOOKUP(A4,'Project Status'!C:M,11,FALSE)</f>
        <v>113053.4</v>
      </c>
    </row>
    <row r="8" spans="1:11" x14ac:dyDescent="0.4">
      <c r="E8" s="41" t="s">
        <v>124</v>
      </c>
    </row>
    <row r="9" spans="1:11" x14ac:dyDescent="0.4">
      <c r="E9" s="22" t="s">
        <v>373</v>
      </c>
      <c r="F9" t="s">
        <v>214</v>
      </c>
      <c r="H9" s="42">
        <v>98341</v>
      </c>
    </row>
    <row r="10" spans="1:11" x14ac:dyDescent="0.4">
      <c r="E10" s="22" t="s">
        <v>412</v>
      </c>
      <c r="F10" t="s">
        <v>146</v>
      </c>
      <c r="H10" s="42">
        <v>14712.4</v>
      </c>
    </row>
    <row r="12" spans="1:11" x14ac:dyDescent="0.4">
      <c r="F12" s="10"/>
      <c r="G12" s="10"/>
      <c r="H12" s="45"/>
    </row>
    <row r="18" spans="5:8" x14ac:dyDescent="0.4">
      <c r="E18" s="136" t="s">
        <v>264</v>
      </c>
      <c r="F18" s="137"/>
      <c r="G18" s="136"/>
      <c r="H18" s="138">
        <f>SUM(H9:H17)</f>
        <v>113053.4</v>
      </c>
    </row>
    <row r="20" spans="5:8" x14ac:dyDescent="0.4">
      <c r="E20" s="139" t="s">
        <v>136</v>
      </c>
      <c r="F20" s="139"/>
      <c r="G20" s="139"/>
      <c r="H20" s="140">
        <f>H4-H18</f>
        <v>0</v>
      </c>
    </row>
  </sheetData>
  <hyperlinks>
    <hyperlink ref="K1" location="'Project Status'!A1" display="'Project Status'!A1" xr:uid="{BBB58F13-EE47-4C84-86AC-49A8F38EFDC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Construction</v>
      </c>
      <c r="G4" s="11" t="str">
        <f>VLOOKUP(A4,'Project Status'!C:K,9,FALSE)</f>
        <v>Ben Bedock</v>
      </c>
      <c r="H4" s="89">
        <f>VLOOKUP(A4,'Project Status'!C:M,11,FALSE)</f>
        <v>61045</v>
      </c>
    </row>
    <row r="8" spans="1:11" x14ac:dyDescent="0.4">
      <c r="E8" s="41" t="s">
        <v>124</v>
      </c>
    </row>
    <row r="9" spans="1:11" x14ac:dyDescent="0.4">
      <c r="E9" s="22" t="s">
        <v>373</v>
      </c>
      <c r="F9" t="s">
        <v>139</v>
      </c>
      <c r="H9" s="42">
        <v>4100</v>
      </c>
    </row>
    <row r="10" spans="1:11" x14ac:dyDescent="0.4">
      <c r="E10" s="22" t="s">
        <v>390</v>
      </c>
      <c r="F10" t="s">
        <v>214</v>
      </c>
      <c r="H10" s="42">
        <v>56945</v>
      </c>
    </row>
    <row r="12" spans="1:11" x14ac:dyDescent="0.4">
      <c r="F12" s="10"/>
      <c r="G12" s="10"/>
      <c r="H12" s="45"/>
    </row>
    <row r="18" spans="5:8" x14ac:dyDescent="0.4">
      <c r="E18" s="136" t="s">
        <v>264</v>
      </c>
      <c r="F18" s="137"/>
      <c r="G18" s="136"/>
      <c r="H18" s="138">
        <f>SUM(H9:H17)</f>
        <v>61045</v>
      </c>
    </row>
    <row r="20" spans="5:8" x14ac:dyDescent="0.4">
      <c r="E20" s="139" t="s">
        <v>136</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Construction</v>
      </c>
      <c r="G4" s="11" t="str">
        <f>VLOOKUP(A4,'Project Status'!C:K,9,FALSE)</f>
        <v>Ben Bedock</v>
      </c>
      <c r="H4" s="89">
        <f>VLOOKUP(A4,'Project Status'!C:M,11,FALSE)</f>
        <v>59798</v>
      </c>
    </row>
    <row r="8" spans="1:11" x14ac:dyDescent="0.4">
      <c r="E8" s="41" t="s">
        <v>124</v>
      </c>
    </row>
    <row r="9" spans="1:11" x14ac:dyDescent="0.4">
      <c r="E9" s="22" t="s">
        <v>373</v>
      </c>
      <c r="F9" t="s">
        <v>139</v>
      </c>
      <c r="H9" s="42">
        <v>4100</v>
      </c>
    </row>
    <row r="10" spans="1:11" x14ac:dyDescent="0.4">
      <c r="E10" s="22" t="s">
        <v>390</v>
      </c>
      <c r="F10" t="s">
        <v>214</v>
      </c>
      <c r="H10" s="42">
        <v>55698</v>
      </c>
    </row>
    <row r="12" spans="1:11" x14ac:dyDescent="0.4">
      <c r="F12" s="10"/>
      <c r="G12" s="10"/>
      <c r="H12" s="45"/>
    </row>
    <row r="18" spans="5:8" x14ac:dyDescent="0.4">
      <c r="E18" s="136" t="s">
        <v>264</v>
      </c>
      <c r="F18" s="137"/>
      <c r="G18" s="136"/>
      <c r="H18" s="138">
        <f>SUM(H9:H17)</f>
        <v>59798</v>
      </c>
    </row>
    <row r="20" spans="5:8" x14ac:dyDescent="0.4">
      <c r="E20" s="139" t="s">
        <v>136</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Construction</v>
      </c>
      <c r="G4" s="11" t="str">
        <f>VLOOKUP(A4,'Project Status'!C:K,9,FALSE)</f>
        <v>Ben Bedock</v>
      </c>
      <c r="H4" s="89">
        <f>VLOOKUP(A4,'Project Status'!C:M,11,FALSE)</f>
        <v>96612</v>
      </c>
    </row>
    <row r="8" spans="1:11" x14ac:dyDescent="0.4">
      <c r="E8" s="41" t="s">
        <v>124</v>
      </c>
    </row>
    <row r="9" spans="1:11" x14ac:dyDescent="0.4">
      <c r="E9" s="22" t="s">
        <v>373</v>
      </c>
      <c r="F9" t="s">
        <v>139</v>
      </c>
      <c r="H9" s="42">
        <v>4100</v>
      </c>
    </row>
    <row r="10" spans="1:11" x14ac:dyDescent="0.4">
      <c r="E10" s="22" t="s">
        <v>390</v>
      </c>
      <c r="F10" t="s">
        <v>214</v>
      </c>
      <c r="H10" s="42">
        <v>92512</v>
      </c>
    </row>
    <row r="12" spans="1:11" x14ac:dyDescent="0.4">
      <c r="F12" s="10"/>
      <c r="G12" s="10"/>
      <c r="H12" s="45"/>
    </row>
    <row r="18" spans="5:8" x14ac:dyDescent="0.4">
      <c r="E18" s="136" t="s">
        <v>264</v>
      </c>
      <c r="F18" s="137"/>
      <c r="G18" s="136"/>
      <c r="H18" s="138">
        <f>SUM(H9:H17)</f>
        <v>96612</v>
      </c>
    </row>
    <row r="20" spans="5:8" x14ac:dyDescent="0.4">
      <c r="E20" s="139" t="s">
        <v>136</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25"/>
  <sheetViews>
    <sheetView zoomScaleNormal="100" workbookViewId="0">
      <pane xSplit="2" ySplit="4" topLeftCell="H5" activePane="bottomRight" state="frozen"/>
      <selection pane="topRight" activeCell="C1" sqref="C1"/>
      <selection pane="bottomLeft" activeCell="A5" sqref="A5"/>
      <selection pane="bottomRight" activeCell="Q14" sqref="Q14"/>
    </sheetView>
  </sheetViews>
  <sheetFormatPr defaultRowHeight="14.6" x14ac:dyDescent="0.4"/>
  <cols>
    <col min="1" max="1" width="26.15234375" customWidth="1"/>
    <col min="2" max="2" width="12.53515625" hidden="1" customWidth="1"/>
    <col min="3" max="17" width="13.84375" customWidth="1"/>
  </cols>
  <sheetData>
    <row r="1" spans="1:17" s="8" customFormat="1" x14ac:dyDescent="0.4">
      <c r="A1" s="74" t="s">
        <v>191</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75" customHeight="1" x14ac:dyDescent="0.4">
      <c r="A4" s="23" t="s">
        <v>86</v>
      </c>
      <c r="B4" s="23" t="s">
        <v>99</v>
      </c>
      <c r="C4" s="122" t="s">
        <v>246</v>
      </c>
      <c r="D4" s="123" t="s">
        <v>307</v>
      </c>
      <c r="E4" s="124" t="s">
        <v>122</v>
      </c>
      <c r="F4" s="123" t="s">
        <v>306</v>
      </c>
      <c r="G4" s="125" t="s">
        <v>244</v>
      </c>
      <c r="H4" s="122" t="s">
        <v>247</v>
      </c>
      <c r="I4" s="123" t="s">
        <v>447</v>
      </c>
      <c r="J4" s="124" t="s">
        <v>122</v>
      </c>
      <c r="K4" s="123" t="s">
        <v>448</v>
      </c>
      <c r="L4" s="125" t="s">
        <v>245</v>
      </c>
      <c r="M4" s="122" t="s">
        <v>449</v>
      </c>
      <c r="N4" s="123" t="s">
        <v>450</v>
      </c>
      <c r="O4" s="124" t="s">
        <v>122</v>
      </c>
      <c r="P4" s="123" t="s">
        <v>452</v>
      </c>
      <c r="Q4" s="125" t="s">
        <v>453</v>
      </c>
    </row>
    <row r="5" spans="1:17" x14ac:dyDescent="0.4">
      <c r="A5" t="s">
        <v>194</v>
      </c>
      <c r="B5" s="21">
        <f>Contributions!B5</f>
        <v>1075461.7320675128</v>
      </c>
      <c r="C5" s="126">
        <f>Contributions!C5/1000000</f>
        <v>3.6638259999999998</v>
      </c>
      <c r="D5" s="127">
        <f>SUMIF('Project Status'!G:G,'Shared Building Allocation'!A5,'Project Status'!R:R)/1000000</f>
        <v>1.7179739999999999</v>
      </c>
      <c r="E5" s="128">
        <f>D22/1000000</f>
        <v>0.55831562499999998</v>
      </c>
      <c r="F5" s="127">
        <f>D5+E5</f>
        <v>2.276289625</v>
      </c>
      <c r="G5" s="129">
        <f>C5-F5</f>
        <v>1.3875363749999998</v>
      </c>
      <c r="H5" s="126">
        <f>Contributions!G5/1000000</f>
        <v>4.2048135899999997</v>
      </c>
      <c r="I5" s="127">
        <f>SUMIF('Project Status'!G:G,'Shared Building Allocation'!A5,'Project Status'!S:S)/1000000</f>
        <v>2.6287729900000003</v>
      </c>
      <c r="J5" s="128">
        <f>I22/1000000</f>
        <v>-9.4282859999999975E-3</v>
      </c>
      <c r="K5" s="127">
        <f t="shared" ref="K5:K13" si="0">I5+J5</f>
        <v>2.6193447040000004</v>
      </c>
      <c r="L5" s="129">
        <f>H5-K5</f>
        <v>1.5854688859999992</v>
      </c>
      <c r="M5" s="126">
        <f>Contributions!K5/1000000</f>
        <v>4.8792291409590094</v>
      </c>
      <c r="N5" s="127">
        <f>SUMIF('Project Status'!G:G,'Shared Building Allocation'!A5,'Project Status'!V:V)/1000000</f>
        <v>0</v>
      </c>
      <c r="O5" s="128">
        <f>N22/1000000</f>
        <v>0.538825</v>
      </c>
      <c r="P5" s="127">
        <f t="shared" ref="P5:P13" si="1">N5+O5</f>
        <v>0.538825</v>
      </c>
      <c r="Q5" s="129">
        <f t="shared" ref="Q5:Q13" si="2">M5-P5</f>
        <v>4.3404041409590093</v>
      </c>
    </row>
    <row r="6" spans="1:17" x14ac:dyDescent="0.4">
      <c r="A6" t="s">
        <v>196</v>
      </c>
      <c r="B6" s="21">
        <f>Contributions!B6</f>
        <v>121421.42689276834</v>
      </c>
      <c r="C6" s="126">
        <f>Contributions!C6/1000000</f>
        <v>0.41365200000000002</v>
      </c>
      <c r="D6" s="127">
        <f>SUMIF('Project Status'!G:G,'Shared Building Allocation'!A6,'Project Status'!R:R)/1000000</f>
        <v>0.57428999999999997</v>
      </c>
      <c r="E6" s="128"/>
      <c r="F6" s="127">
        <f t="shared" ref="F6:F13" si="3">D6+E6</f>
        <v>0.57428999999999997</v>
      </c>
      <c r="G6" s="129">
        <f t="shared" ref="G6:G13" si="4">C6-F6</f>
        <v>-0.16063799999999995</v>
      </c>
      <c r="H6" s="126">
        <f>Contributions!G6/1000000</f>
        <v>0.48204136999999997</v>
      </c>
      <c r="I6" s="127">
        <f>SUMIF('Project Status'!G:G,'Shared Building Allocation'!A6,'Project Status'!S:S)/1000000</f>
        <v>1.9168099999999999</v>
      </c>
      <c r="J6" s="128"/>
      <c r="K6" s="127">
        <f t="shared" si="0"/>
        <v>1.9168099999999999</v>
      </c>
      <c r="L6" s="129">
        <f t="shared" ref="L6:L13" si="5">H6-K6</f>
        <v>-1.43476863</v>
      </c>
      <c r="M6" s="126">
        <f>Contributions!K6/1000000</f>
        <v>0.60113591179653203</v>
      </c>
      <c r="N6" s="127">
        <f>SUMIF('Project Status'!G:G,'Shared Building Allocation'!A6,'Project Status'!V:V)/1000000</f>
        <v>1.3</v>
      </c>
      <c r="O6" s="128"/>
      <c r="P6" s="127">
        <f t="shared" si="1"/>
        <v>1.3</v>
      </c>
      <c r="Q6" s="129">
        <f t="shared" si="2"/>
        <v>-0.69886408820346801</v>
      </c>
    </row>
    <row r="7" spans="1:17" x14ac:dyDescent="0.4">
      <c r="A7" t="s">
        <v>197</v>
      </c>
      <c r="B7" s="21">
        <f>Contributions!B7</f>
        <v>57814.730923479161</v>
      </c>
      <c r="C7" s="126">
        <f>Contributions!C7/1000000</f>
        <v>0.19696</v>
      </c>
      <c r="D7" s="127">
        <f>SUMIF('Project Status'!G:G,'Shared Building Allocation'!A7,'Project Status'!R:R)/1000000</f>
        <v>9.6362500000000004E-2</v>
      </c>
      <c r="E7" s="128"/>
      <c r="F7" s="127">
        <f t="shared" si="3"/>
        <v>9.6362500000000004E-2</v>
      </c>
      <c r="G7" s="129">
        <f t="shared" si="4"/>
        <v>0.10059749999999999</v>
      </c>
      <c r="H7" s="126">
        <f>Contributions!G7/1000000</f>
        <v>0.23130411000000001</v>
      </c>
      <c r="I7" s="127">
        <f>SUMIF('Project Status'!G:G,'Shared Building Allocation'!A7,'Project Status'!S:S)/1000000</f>
        <v>3.6603599999999998</v>
      </c>
      <c r="J7" s="128"/>
      <c r="K7" s="127">
        <f t="shared" si="0"/>
        <v>3.6603599999999998</v>
      </c>
      <c r="L7" s="129">
        <f t="shared" si="5"/>
        <v>-3.4290558899999999</v>
      </c>
      <c r="M7" s="126">
        <f>Contributions!K7/1000000</f>
        <v>0.26451489378588094</v>
      </c>
      <c r="N7" s="127">
        <f>SUMIF('Project Status'!G:G,'Shared Building Allocation'!A7,'Project Status'!V:V)/1000000</f>
        <v>0</v>
      </c>
      <c r="O7" s="128"/>
      <c r="P7" s="127">
        <f t="shared" si="1"/>
        <v>0</v>
      </c>
      <c r="Q7" s="129">
        <f t="shared" si="2"/>
        <v>0.26451489378588094</v>
      </c>
    </row>
    <row r="8" spans="1:17" x14ac:dyDescent="0.4">
      <c r="A8" t="s">
        <v>198</v>
      </c>
      <c r="B8" s="21">
        <f>Contributions!B8</f>
        <v>537962.332719445</v>
      </c>
      <c r="C8" s="126">
        <f>Contributions!C8/1000000</f>
        <v>1.8327009999999999</v>
      </c>
      <c r="D8" s="127">
        <f>SUMIF('Project Status'!G:G,'Shared Building Allocation'!A8,'Project Status'!R:R)/1000000</f>
        <v>0.35299999999999998</v>
      </c>
      <c r="E8" s="128"/>
      <c r="F8" s="127">
        <f t="shared" si="3"/>
        <v>0.35299999999999998</v>
      </c>
      <c r="G8" s="129">
        <f t="shared" si="4"/>
        <v>1.4797009999999999</v>
      </c>
      <c r="H8" s="126">
        <f>Contributions!G8/1000000</f>
        <v>2.1933376600000001</v>
      </c>
      <c r="I8" s="127">
        <f>SUMIF('Project Status'!G:G,'Shared Building Allocation'!A8,'Project Status'!S:S)/1000000</f>
        <v>2.4933E-2</v>
      </c>
      <c r="J8" s="128"/>
      <c r="K8" s="127">
        <f t="shared" si="0"/>
        <v>2.4933E-2</v>
      </c>
      <c r="L8" s="129">
        <f t="shared" si="5"/>
        <v>2.1684046600000002</v>
      </c>
      <c r="M8" s="126">
        <f>Contributions!K8/1000000</f>
        <v>2.4895745342513158</v>
      </c>
      <c r="N8" s="127">
        <f>SUMIF('Project Status'!G:G,'Shared Building Allocation'!A8,'Project Status'!V:V)/1000000</f>
        <v>0</v>
      </c>
      <c r="O8" s="128"/>
      <c r="P8" s="127">
        <f t="shared" si="1"/>
        <v>0</v>
      </c>
      <c r="Q8" s="129">
        <f t="shared" si="2"/>
        <v>2.4895745342513158</v>
      </c>
    </row>
    <row r="9" spans="1:17" x14ac:dyDescent="0.4">
      <c r="A9" t="s">
        <v>199</v>
      </c>
      <c r="B9" s="21">
        <f>Contributions!B9</f>
        <v>120155.48460329951</v>
      </c>
      <c r="C9" s="126">
        <f>Contributions!C9/1000000</f>
        <v>0.40933900000000001</v>
      </c>
      <c r="D9" s="127">
        <f>SUMIF('Project Status'!G:G,'Shared Building Allocation'!A9,'Project Status'!R:R)/1000000</f>
        <v>1.2061345000000001</v>
      </c>
      <c r="E9" s="128"/>
      <c r="F9" s="127">
        <f t="shared" si="3"/>
        <v>1.2061345000000001</v>
      </c>
      <c r="G9" s="129">
        <f t="shared" si="4"/>
        <v>-0.7967955000000001</v>
      </c>
      <c r="H9" s="126">
        <f>Contributions!G9/1000000</f>
        <v>0.47701535000000006</v>
      </c>
      <c r="I9" s="127">
        <f>SUMIF('Project Status'!G:G,'Shared Building Allocation'!A9,'Project Status'!S:S)/1000000</f>
        <v>0.66115999999999997</v>
      </c>
      <c r="J9" s="128"/>
      <c r="K9" s="127">
        <f t="shared" si="0"/>
        <v>0.66115999999999997</v>
      </c>
      <c r="L9" s="129">
        <f t="shared" si="5"/>
        <v>-0.18414464999999991</v>
      </c>
      <c r="M9" s="126">
        <f>Contributions!K9/1000000</f>
        <v>0.54146471306926902</v>
      </c>
      <c r="N9" s="127">
        <f>SUMIF('Project Status'!G:G,'Shared Building Allocation'!A9,'Project Status'!V:V)/1000000</f>
        <v>0</v>
      </c>
      <c r="O9" s="128"/>
      <c r="P9" s="127">
        <f t="shared" si="1"/>
        <v>0</v>
      </c>
      <c r="Q9" s="129">
        <f t="shared" si="2"/>
        <v>0.54146471306926902</v>
      </c>
    </row>
    <row r="10" spans="1:17" x14ac:dyDescent="0.4">
      <c r="A10" t="s">
        <v>201</v>
      </c>
      <c r="B10" s="21">
        <f>Contributions!B10</f>
        <v>280022.39987629937</v>
      </c>
      <c r="C10" s="126">
        <f>Contributions!C10/1000000</f>
        <v>0.95396499999999995</v>
      </c>
      <c r="D10" s="127">
        <f>SUMIF('Project Status'!G:G,'Shared Building Allocation'!A10,'Project Status'!R:R)/1000000</f>
        <v>1.5951875</v>
      </c>
      <c r="E10" s="128">
        <f>-D22/1000000</f>
        <v>-0.55831562499999998</v>
      </c>
      <c r="F10" s="127">
        <f t="shared" si="3"/>
        <v>1.0368718750000001</v>
      </c>
      <c r="G10" s="129">
        <f t="shared" si="4"/>
        <v>-8.2906875000000158E-2</v>
      </c>
      <c r="H10" s="126">
        <f>Contributions!G10/1000000</f>
        <v>1.0547257800000001</v>
      </c>
      <c r="I10" s="127">
        <f>SUMIF('Project Status'!G:G,'Shared Building Allocation'!A10,'Project Status'!S:S)/1000000</f>
        <v>-2.693796E-2</v>
      </c>
      <c r="J10" s="128">
        <f>-I22/1000000</f>
        <v>9.4282859999999975E-3</v>
      </c>
      <c r="K10" s="127">
        <f t="shared" si="0"/>
        <v>-1.7509674000000003E-2</v>
      </c>
      <c r="L10" s="129">
        <f t="shared" si="5"/>
        <v>1.0722354540000001</v>
      </c>
      <c r="M10" s="126">
        <f>Contributions!K10/1000000</f>
        <v>1.4329847751475155</v>
      </c>
      <c r="N10" s="127">
        <f>SUMIF('Project Status'!G:G,'Shared Building Allocation'!A10,'Project Status'!V:V)/1000000</f>
        <v>1.5395000000000001</v>
      </c>
      <c r="O10" s="128">
        <f>-N22/1000000</f>
        <v>-0.538825</v>
      </c>
      <c r="P10" s="127">
        <f t="shared" si="1"/>
        <v>1.0006750000000002</v>
      </c>
      <c r="Q10" s="129">
        <f t="shared" si="2"/>
        <v>0.43230977514751534</v>
      </c>
    </row>
    <row r="11" spans="1:17" x14ac:dyDescent="0.4">
      <c r="A11" t="s">
        <v>200</v>
      </c>
      <c r="B11" s="21">
        <f>Contributions!B11</f>
        <v>106166.70000000001</v>
      </c>
      <c r="C11" s="126">
        <f>Contributions!C11/1000000</f>
        <v>0.36168299999999998</v>
      </c>
      <c r="D11" s="127">
        <f>SUMIF('Project Status'!G:G,'Shared Building Allocation'!A11,'Project Status'!R:R)/1000000</f>
        <v>4.8999999999999998E-3</v>
      </c>
      <c r="E11" s="128"/>
      <c r="F11" s="127">
        <f t="shared" si="3"/>
        <v>4.8999999999999998E-3</v>
      </c>
      <c r="G11" s="129">
        <f t="shared" si="4"/>
        <v>0.35678299999999996</v>
      </c>
      <c r="H11" s="126">
        <f>Contributions!G11/1000000</f>
        <v>0.41981162</v>
      </c>
      <c r="I11" s="127">
        <f>SUMIF('Project Status'!G:G,'Shared Building Allocation'!A11,'Project Status'!S:S)/1000000</f>
        <v>0.28652699999999998</v>
      </c>
      <c r="J11" s="128"/>
      <c r="K11" s="127">
        <f t="shared" si="0"/>
        <v>0.28652699999999998</v>
      </c>
      <c r="L11" s="129">
        <f t="shared" si="5"/>
        <v>0.13328462000000002</v>
      </c>
      <c r="M11" s="126">
        <f>Contributions!K11/1000000</f>
        <v>0.48008870140000004</v>
      </c>
      <c r="N11" s="127">
        <f>SUMIF('Project Status'!G:G,'Shared Building Allocation'!A11,'Project Status'!V:V)/1000000</f>
        <v>0</v>
      </c>
      <c r="O11" s="128"/>
      <c r="P11" s="127">
        <f t="shared" si="1"/>
        <v>0</v>
      </c>
      <c r="Q11" s="129">
        <f t="shared" si="2"/>
        <v>0.48008870140000004</v>
      </c>
    </row>
    <row r="12" spans="1:17" x14ac:dyDescent="0.4">
      <c r="A12" t="s">
        <v>195</v>
      </c>
      <c r="B12" s="21">
        <f>Contributions!B12</f>
        <v>59008.361666666671</v>
      </c>
      <c r="C12" s="126">
        <f>Contributions!C12/1000000</f>
        <v>0.20102700000000001</v>
      </c>
      <c r="D12" s="127">
        <f>SUMIF('Project Status'!G:G,'Shared Building Allocation'!A12,'Project Status'!R:R)/1000000</f>
        <v>0.3</v>
      </c>
      <c r="E12" s="128"/>
      <c r="F12" s="127">
        <f t="shared" si="3"/>
        <v>0.3</v>
      </c>
      <c r="G12" s="129">
        <f t="shared" si="4"/>
        <v>-9.8972999999999978E-2</v>
      </c>
      <c r="H12" s="126">
        <f>Contributions!G12/1000000</f>
        <v>0.39358580000000004</v>
      </c>
      <c r="I12" s="127">
        <f>SUMIF('Project Status'!G:G,'Shared Building Allocation'!A12,'Project Status'!S:S)/1000000</f>
        <v>1.5765</v>
      </c>
      <c r="J12" s="128"/>
      <c r="K12" s="127">
        <f t="shared" si="0"/>
        <v>1.5765</v>
      </c>
      <c r="L12" s="129">
        <f t="shared" si="5"/>
        <v>-1.1829141999999999</v>
      </c>
      <c r="M12" s="126">
        <f>Contributions!K12/1000000</f>
        <v>0.45217670352139844</v>
      </c>
      <c r="N12" s="127">
        <f>SUMIF('Project Status'!G:G,'Shared Building Allocation'!A12,'Project Status'!V:V)/1000000</f>
        <v>1.6</v>
      </c>
      <c r="O12" s="128"/>
      <c r="P12" s="127">
        <f t="shared" si="1"/>
        <v>1.6</v>
      </c>
      <c r="Q12" s="129">
        <f t="shared" si="2"/>
        <v>-1.1478232964786017</v>
      </c>
    </row>
    <row r="13" spans="1:17" x14ac:dyDescent="0.4">
      <c r="A13" t="s">
        <v>202</v>
      </c>
      <c r="B13" s="21">
        <f>Contributions!B13</f>
        <v>390796.88477064227</v>
      </c>
      <c r="C13" s="126">
        <f>Contributions!C13/1000000</f>
        <v>1.3313459999999999</v>
      </c>
      <c r="D13" s="127">
        <f>SUMIF('Project Status'!G:G,'Shared Building Allocation'!A13,'Project Status'!R:R)/1000000</f>
        <v>2.9494377599999999</v>
      </c>
      <c r="E13" s="128"/>
      <c r="F13" s="127">
        <f t="shared" si="3"/>
        <v>2.9494377599999999</v>
      </c>
      <c r="G13" s="129">
        <f t="shared" si="4"/>
        <v>-1.61809176</v>
      </c>
      <c r="H13" s="126">
        <f>Contributions!G13/1000000</f>
        <v>1.57264801</v>
      </c>
      <c r="I13" s="127">
        <f>SUMIF('Project Status'!G:G,'Shared Building Allocation'!A13,'Project Status'!S:S)/1000000</f>
        <v>0.60034790999999998</v>
      </c>
      <c r="J13" s="128"/>
      <c r="K13" s="127">
        <f t="shared" si="0"/>
        <v>0.60034790999999998</v>
      </c>
      <c r="L13" s="129">
        <f t="shared" si="5"/>
        <v>0.9723001</v>
      </c>
      <c r="M13" s="126">
        <f>Contributions!K13/1000000</f>
        <v>1.7161150883343224</v>
      </c>
      <c r="N13" s="127">
        <f>SUMIF('Project Status'!G:G,'Shared Building Allocation'!A13,'Project Status'!V:V)/1000000</f>
        <v>0</v>
      </c>
      <c r="O13" s="128"/>
      <c r="P13" s="127">
        <f t="shared" si="1"/>
        <v>0</v>
      </c>
      <c r="Q13" s="129">
        <f t="shared" si="2"/>
        <v>1.7161150883343224</v>
      </c>
    </row>
    <row r="14" spans="1:17" ht="15" thickBot="1" x14ac:dyDescent="0.45">
      <c r="A14" s="24"/>
      <c r="B14" s="24">
        <v>2748810.0535201132</v>
      </c>
      <c r="C14" s="130">
        <f>SUM(C5:C13)</f>
        <v>9.3644990000000004</v>
      </c>
      <c r="D14" s="131">
        <f>SUM(D5:D13)</f>
        <v>8.7972862599999999</v>
      </c>
      <c r="E14" s="132"/>
      <c r="F14" s="131">
        <f>SUM(F5:F13)</f>
        <v>8.7972862599999999</v>
      </c>
      <c r="G14" s="133">
        <f>SUM(G5:G13)</f>
        <v>0.56721273999999955</v>
      </c>
      <c r="H14" s="130">
        <f>SUM(H5:H13)</f>
        <v>11.02928329</v>
      </c>
      <c r="I14" s="131">
        <f>SUM(I5:I13)</f>
        <v>11.328472940000001</v>
      </c>
      <c r="J14" s="132"/>
      <c r="K14" s="131">
        <f>SUM(K5:K13)</f>
        <v>11.328472940000001</v>
      </c>
      <c r="L14" s="133">
        <f>SUM(L5:L13)</f>
        <v>-0.29918964999999997</v>
      </c>
      <c r="M14" s="130">
        <f>SUM(M5:M13)</f>
        <v>12.857284462265245</v>
      </c>
      <c r="N14" s="131">
        <f>SUM(N5:N13)</f>
        <v>4.4395000000000007</v>
      </c>
      <c r="O14" s="132"/>
      <c r="P14" s="131">
        <f>SUM(P5:P13)</f>
        <v>4.4395000000000007</v>
      </c>
      <c r="Q14" s="133">
        <f>SUM(Q5:Q13)</f>
        <v>8.4177844622652422</v>
      </c>
    </row>
    <row r="16" spans="1:17" x14ac:dyDescent="0.4">
      <c r="I16" s="35"/>
      <c r="N16" s="35"/>
    </row>
    <row r="17" spans="1:14" x14ac:dyDescent="0.4">
      <c r="I17" s="35"/>
      <c r="N17" s="35"/>
    </row>
    <row r="18" spans="1:14" x14ac:dyDescent="0.4">
      <c r="A18" s="20" t="s">
        <v>118</v>
      </c>
    </row>
    <row r="19" spans="1:14" s="20" customFormat="1" x14ac:dyDescent="0.4">
      <c r="D19" s="29" t="s">
        <v>304</v>
      </c>
      <c r="I19" s="29" t="s">
        <v>305</v>
      </c>
      <c r="N19" s="29" t="s">
        <v>451</v>
      </c>
    </row>
    <row r="20" spans="1:14" s="20" customFormat="1" x14ac:dyDescent="0.4">
      <c r="A20" s="242" t="s">
        <v>147</v>
      </c>
      <c r="D20" s="30">
        <f>SUMIF('Project Status'!H:H,'Shared Building Allocation'!A20,'Project Status'!R:R)</f>
        <v>1595187.5</v>
      </c>
      <c r="I20" s="30">
        <f>SUMIF('Project Status'!H:H,'Shared Building Allocation'!A20,'Project Status'!S:S)</f>
        <v>-26937.96</v>
      </c>
      <c r="N20" s="30">
        <f>SUMIF('Project Status'!H:H,'Shared Building Allocation'!A20,'Project Status'!V:V)</f>
        <v>1539500</v>
      </c>
    </row>
    <row r="21" spans="1:14" s="20" customFormat="1" ht="6.45" customHeight="1" x14ac:dyDescent="0.4">
      <c r="D21" s="30"/>
      <c r="I21" s="30"/>
      <c r="N21" s="30"/>
    </row>
    <row r="22" spans="1:14" s="20" customFormat="1" x14ac:dyDescent="0.4">
      <c r="A22" s="32" t="s">
        <v>120</v>
      </c>
      <c r="D22" s="30">
        <f>D20*0.35</f>
        <v>558315.625</v>
      </c>
      <c r="I22" s="30">
        <f>I20*0.35</f>
        <v>-9428.2859999999982</v>
      </c>
      <c r="N22" s="30">
        <f>N20*0.35</f>
        <v>538825</v>
      </c>
    </row>
    <row r="23" spans="1:14" s="20" customFormat="1" x14ac:dyDescent="0.4">
      <c r="A23" s="32" t="s">
        <v>121</v>
      </c>
      <c r="D23" s="30">
        <f>D20*0.65</f>
        <v>1036871.875</v>
      </c>
      <c r="I23" s="30">
        <f>I20*0.65</f>
        <v>-17509.673999999999</v>
      </c>
      <c r="N23" s="30">
        <f>N20*0.65</f>
        <v>1000675</v>
      </c>
    </row>
    <row r="24" spans="1:14" s="20" customFormat="1" x14ac:dyDescent="0.4">
      <c r="D24" s="31">
        <f>SUM(D22:D23)</f>
        <v>1595187.5</v>
      </c>
      <c r="I24" s="31">
        <f>SUM(I22:I23)</f>
        <v>-26937.96</v>
      </c>
      <c r="N24" s="31">
        <f>SUM(N22:N23)</f>
        <v>1539500</v>
      </c>
    </row>
    <row r="25" spans="1: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15234375" bestFit="1" customWidth="1"/>
    <col min="6" max="6" width="7.69140625" bestFit="1" customWidth="1"/>
    <col min="7" max="7" width="14.152343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20922</v>
      </c>
      <c r="B4" s="11">
        <f>VLOOKUP(A4,'Project Status'!C:D,2,FALSE)</f>
        <v>8914</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Status'!C:J,8,FALSE)</f>
        <v>Award</v>
      </c>
      <c r="G4" s="11" t="str">
        <f>VLOOKUP(A4,'Project Status'!C:K,9,FALSE)</f>
        <v>Jay Surprenant</v>
      </c>
      <c r="H4" s="89">
        <f>VLOOKUP(A4,'Project Status'!C:M,11,FALSE)</f>
        <v>197150</v>
      </c>
    </row>
    <row r="8" spans="1:11" x14ac:dyDescent="0.4">
      <c r="E8" s="41" t="s">
        <v>124</v>
      </c>
    </row>
    <row r="9" spans="1:11" x14ac:dyDescent="0.4">
      <c r="E9" s="22" t="s">
        <v>412</v>
      </c>
      <c r="F9" t="s">
        <v>139</v>
      </c>
      <c r="H9" s="42">
        <v>197150</v>
      </c>
    </row>
    <row r="10" spans="1:11" x14ac:dyDescent="0.4">
      <c r="E10" s="22"/>
      <c r="H10" s="42"/>
    </row>
    <row r="12" spans="1:11" x14ac:dyDescent="0.4">
      <c r="F12" s="10"/>
      <c r="G12" s="10"/>
      <c r="H12" s="45"/>
    </row>
    <row r="18" spans="5:8" x14ac:dyDescent="0.4">
      <c r="E18" s="136" t="s">
        <v>264</v>
      </c>
      <c r="F18" s="137"/>
      <c r="G18" s="136"/>
      <c r="H18" s="138">
        <f>SUM(H9:H17)</f>
        <v>197150</v>
      </c>
    </row>
    <row r="20" spans="5:8" x14ac:dyDescent="0.4">
      <c r="E20" s="139" t="s">
        <v>136</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20924</v>
      </c>
      <c r="B4" s="11">
        <f>VLOOKUP(A4,'Project Status'!C:D,2,FALSE)</f>
        <v>0</v>
      </c>
      <c r="C4" s="11">
        <f>VLOOKUP(A4,'Project Status'!C:E,3,FALSE)</f>
        <v>0</v>
      </c>
      <c r="D4" s="11" t="str">
        <f>VLOOKUP(A4,'Project Status'!C:F,4,FALSE)</f>
        <v>19000 - Nursing: Office of the Dean</v>
      </c>
      <c r="E4" s="11" t="str">
        <f>VLOOKUP(A4,'Project Status'!C:I,7,FALSE)</f>
        <v>Frist Hall - Stairwell Roof Replacement</v>
      </c>
      <c r="F4" s="11" t="str">
        <f>VLOOKUP(A4,'Project Status'!C:J,8,FALSE)</f>
        <v>Construction</v>
      </c>
      <c r="G4" s="11" t="str">
        <f>VLOOKUP(A4,'Project Status'!C:K,9,FALSE)</f>
        <v>Ben Bedock</v>
      </c>
      <c r="H4" s="89">
        <f>VLOOKUP(A4,'Project Status'!C:M,11,FALSE)</f>
        <v>30570</v>
      </c>
    </row>
    <row r="8" spans="1:11" x14ac:dyDescent="0.4">
      <c r="E8" s="41" t="s">
        <v>124</v>
      </c>
    </row>
    <row r="9" spans="1:11" x14ac:dyDescent="0.4">
      <c r="E9" s="22" t="s">
        <v>399</v>
      </c>
      <c r="F9" t="s">
        <v>139</v>
      </c>
      <c r="H9" s="42">
        <v>30570</v>
      </c>
    </row>
    <row r="10" spans="1:11" x14ac:dyDescent="0.4">
      <c r="E10" s="22"/>
      <c r="H10" s="42"/>
    </row>
    <row r="12" spans="1:11" x14ac:dyDescent="0.4">
      <c r="F12" s="10"/>
      <c r="G12" s="10"/>
      <c r="H12" s="45"/>
    </row>
    <row r="18" spans="5:8" x14ac:dyDescent="0.4">
      <c r="E18" s="136" t="s">
        <v>264</v>
      </c>
      <c r="F18" s="137"/>
      <c r="G18" s="136"/>
      <c r="H18" s="138">
        <f>SUM(H9:H17)</f>
        <v>30570</v>
      </c>
    </row>
    <row r="20" spans="5:8" x14ac:dyDescent="0.4">
      <c r="E20" s="139" t="s">
        <v>136</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Status'!C:J,8,FALSE)</f>
        <v>Construction</v>
      </c>
      <c r="G4" s="11" t="str">
        <f>VLOOKUP(A4,'Project Status'!C:K,9,FALSE)</f>
        <v>Jay Surprenant</v>
      </c>
      <c r="H4" s="89">
        <f>VLOOKUP(A4,'Project Status'!C:M,11,FALSE)</f>
        <v>404655.91</v>
      </c>
    </row>
    <row r="8" spans="1:11" x14ac:dyDescent="0.4">
      <c r="E8" s="41" t="s">
        <v>124</v>
      </c>
    </row>
    <row r="9" spans="1:11" x14ac:dyDescent="0.4">
      <c r="E9" s="22" t="s">
        <v>399</v>
      </c>
      <c r="F9" t="s">
        <v>139</v>
      </c>
      <c r="H9" s="42">
        <v>404655.91</v>
      </c>
    </row>
    <row r="10" spans="1:11" x14ac:dyDescent="0.4">
      <c r="E10" s="22"/>
      <c r="H10" s="42"/>
    </row>
    <row r="12" spans="1:11" x14ac:dyDescent="0.4">
      <c r="F12" s="10"/>
      <c r="G12" s="10"/>
      <c r="H12" s="45"/>
    </row>
    <row r="18" spans="5:8" x14ac:dyDescent="0.4">
      <c r="E18" s="136" t="s">
        <v>264</v>
      </c>
      <c r="F18" s="137"/>
      <c r="G18" s="136"/>
      <c r="H18" s="138">
        <f>SUM(H9:H17)</f>
        <v>404655.91</v>
      </c>
    </row>
    <row r="20" spans="5:8" x14ac:dyDescent="0.4">
      <c r="E20" s="139" t="s">
        <v>136</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20945</v>
      </c>
      <c r="B4" s="11">
        <f>VLOOKUP(A4,'Project Status'!C:D,2,FALSE)</f>
        <v>0</v>
      </c>
      <c r="C4" s="11">
        <f>VLOOKUP(A4,'Project Status'!C:E,3,FALSE)</f>
        <v>0</v>
      </c>
      <c r="D4" s="11" t="str">
        <f>VLOOKUP(A4,'Project Status'!C:F,4,FALSE)</f>
        <v>10000 - Chancellor</v>
      </c>
      <c r="E4" s="11" t="str">
        <f>VLOOKUP(A4,'Project Status'!C:I,7,FALSE)</f>
        <v>Seigenthaler Building - HVAC Improvements</v>
      </c>
      <c r="F4" s="11" t="str">
        <f>VLOOKUP(A4,'Project Status'!C:J,8,FALSE)</f>
        <v>Construction</v>
      </c>
      <c r="G4" s="11" t="str">
        <f>VLOOKUP(A4,'Project Status'!C:K,9,FALSE)</f>
        <v>Sean Rewers</v>
      </c>
      <c r="H4" s="89">
        <f>VLOOKUP(A4,'Project Status'!C:M,11,FALSE)</f>
        <v>99000</v>
      </c>
    </row>
    <row r="8" spans="1:11" x14ac:dyDescent="0.4">
      <c r="E8" s="41" t="s">
        <v>124</v>
      </c>
    </row>
    <row r="9" spans="1:11" x14ac:dyDescent="0.4">
      <c r="E9" s="22" t="s">
        <v>390</v>
      </c>
      <c r="F9" t="s">
        <v>139</v>
      </c>
      <c r="H9" s="42">
        <v>99000</v>
      </c>
    </row>
    <row r="10" spans="1:11" x14ac:dyDescent="0.4">
      <c r="E10" s="22"/>
      <c r="H10" s="42"/>
    </row>
    <row r="12" spans="1:11" x14ac:dyDescent="0.4">
      <c r="F12" s="10"/>
      <c r="G12" s="10"/>
      <c r="H12" s="45"/>
    </row>
    <row r="18" spans="5:8" x14ac:dyDescent="0.4">
      <c r="E18" s="136" t="s">
        <v>264</v>
      </c>
      <c r="F18" s="137"/>
      <c r="G18" s="136"/>
      <c r="H18" s="138">
        <f>SUM(H9:H17)</f>
        <v>99000</v>
      </c>
    </row>
    <row r="20" spans="5:8" x14ac:dyDescent="0.4">
      <c r="E20" s="139" t="s">
        <v>136</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15234375" bestFit="1" customWidth="1"/>
    <col min="6" max="6" width="22.535156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20958</v>
      </c>
      <c r="B4" s="11">
        <f>VLOOKUP(A4,'Project Status'!C:D,2,FALSE)</f>
        <v>0</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Status'!C:J,8,FALSE)</f>
        <v>Design</v>
      </c>
      <c r="G4" s="11" t="str">
        <f>VLOOKUP(A4,'Project Status'!C:K,9,FALSE)</f>
        <v>Ben Bedock</v>
      </c>
      <c r="H4" s="89">
        <f>VLOOKUP(A4,'Project Status'!C:M,11,FALSE)</f>
        <v>18175</v>
      </c>
    </row>
    <row r="8" spans="1:11" x14ac:dyDescent="0.4">
      <c r="E8" s="41" t="s">
        <v>124</v>
      </c>
    </row>
    <row r="9" spans="1:11" x14ac:dyDescent="0.4">
      <c r="E9" s="22" t="s">
        <v>412</v>
      </c>
      <c r="F9" t="s">
        <v>139</v>
      </c>
      <c r="H9" s="42">
        <v>18175</v>
      </c>
    </row>
    <row r="10" spans="1:11" x14ac:dyDescent="0.4">
      <c r="E10" s="22"/>
      <c r="H10" s="42"/>
    </row>
    <row r="12" spans="1:11" x14ac:dyDescent="0.4">
      <c r="F12" s="10"/>
      <c r="G12" s="10"/>
      <c r="H12" s="45"/>
    </row>
    <row r="18" spans="5:8" x14ac:dyDescent="0.4">
      <c r="E18" s="136" t="s">
        <v>264</v>
      </c>
      <c r="F18" s="137"/>
      <c r="G18" s="136"/>
      <c r="H18" s="138">
        <f>SUM(H9:H17)</f>
        <v>18175</v>
      </c>
    </row>
    <row r="20" spans="5:8" x14ac:dyDescent="0.4">
      <c r="E20" s="139" t="s">
        <v>136</v>
      </c>
      <c r="F20" s="139"/>
      <c r="G20" s="139"/>
      <c r="H20" s="140">
        <f>H4-H18</f>
        <v>0</v>
      </c>
    </row>
  </sheetData>
  <hyperlinks>
    <hyperlink ref="K1" location="'Project Status'!A1" display="'Project Status'!A1" xr:uid="{4F4EF9C2-0892-47DA-B8B0-8CAE31D586D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E4" sqref="E4"/>
    </sheetView>
  </sheetViews>
  <sheetFormatPr defaultRowHeight="14.6" x14ac:dyDescent="0.4"/>
  <cols>
    <col min="1" max="1" width="8.53515625" bestFit="1" customWidth="1"/>
    <col min="2" max="2" width="5.3046875" bestFit="1" customWidth="1"/>
    <col min="3" max="3" width="11" bestFit="1" customWidth="1"/>
    <col min="4" max="4" width="40.53515625" bestFit="1" customWidth="1"/>
    <col min="5" max="5" width="42.15234375" bestFit="1" customWidth="1"/>
    <col min="6" max="6" width="10.3828125" bestFit="1" customWidth="1"/>
    <col min="7" max="7" width="11.3046875" bestFit="1" customWidth="1"/>
    <col min="8" max="8" width="16.53515625" bestFit="1" customWidth="1"/>
    <col min="11" max="11" width="16.69140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row>
    <row r="4" spans="1:11" x14ac:dyDescent="0.4">
      <c r="A4" s="11">
        <v>20982</v>
      </c>
      <c r="B4" s="11">
        <f>VLOOKUP(A4,'Project Status'!C:D,2,FALSE)</f>
        <v>0</v>
      </c>
      <c r="C4" s="11" t="str">
        <f>VLOOKUP(A4,'Project Status'!C:E,3,FALSE)</f>
        <v>CP_400270</v>
      </c>
      <c r="D4" s="11" t="str">
        <f>VLOOKUP(A4,'Project Status'!C:F,4,FALSE)</f>
        <v>17100 - Law: Business Affairs</v>
      </c>
      <c r="E4" s="11" t="str">
        <f>VLOOKUP(A4,'Project Status'!C:I,7,FALSE)</f>
        <v>Law School - Elevator 1 Modernization</v>
      </c>
      <c r="F4" s="11" t="str">
        <f>VLOOKUP(A4,'Project Status'!C:J,8,FALSE)</f>
        <v>Programming or Planning</v>
      </c>
      <c r="G4" s="11" t="str">
        <f>VLOOKUP(A4,'Project Status'!C:K,9,FALSE)</f>
        <v>Ben Bedock</v>
      </c>
      <c r="H4" s="89">
        <f>VLOOKUP(A4,'Project Status'!C:M,11,FALSE)</f>
        <v>18175</v>
      </c>
    </row>
    <row r="8" spans="1:11" x14ac:dyDescent="0.4">
      <c r="E8" s="41" t="s">
        <v>124</v>
      </c>
    </row>
    <row r="9" spans="1:11" x14ac:dyDescent="0.4">
      <c r="E9" s="22" t="s">
        <v>442</v>
      </c>
      <c r="F9" t="s">
        <v>139</v>
      </c>
      <c r="H9" s="42">
        <v>18175</v>
      </c>
    </row>
    <row r="10" spans="1:11" x14ac:dyDescent="0.4">
      <c r="E10" s="22"/>
      <c r="H10" s="42"/>
    </row>
    <row r="12" spans="1:11" x14ac:dyDescent="0.4">
      <c r="F12" s="10"/>
      <c r="G12" s="10"/>
      <c r="H12" s="45"/>
    </row>
    <row r="18" spans="5:8" x14ac:dyDescent="0.4">
      <c r="E18" s="136" t="s">
        <v>264</v>
      </c>
      <c r="F18" s="137"/>
      <c r="G18" s="136"/>
      <c r="H18" s="138">
        <f>SUM(H9:H17)</f>
        <v>18175</v>
      </c>
    </row>
    <row r="20" spans="5:8" x14ac:dyDescent="0.4">
      <c r="E20" s="139" t="s">
        <v>136</v>
      </c>
      <c r="F20" s="139"/>
      <c r="G20" s="139"/>
      <c r="H20" s="140">
        <f>H4-H18</f>
        <v>0</v>
      </c>
    </row>
  </sheetData>
  <hyperlinks>
    <hyperlink ref="K1" location="'Project Status'!A1" display="'Project Status'!A1" xr:uid="{971C022E-07DF-4C69-A083-9159FE5383CD}"/>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269</v>
      </c>
    </row>
    <row r="2" spans="1:10" x14ac:dyDescent="0.4">
      <c r="B2" s="46" t="s">
        <v>140</v>
      </c>
    </row>
    <row r="3" spans="1:10" x14ac:dyDescent="0.4">
      <c r="B3" t="s">
        <v>142</v>
      </c>
    </row>
    <row r="4" spans="1:10" x14ac:dyDescent="0.4">
      <c r="B4" s="47" t="s">
        <v>141</v>
      </c>
      <c r="C4" s="48">
        <f>Contributions!C14</f>
        <v>9364499</v>
      </c>
    </row>
    <row r="5" spans="1:10" x14ac:dyDescent="0.4">
      <c r="B5" s="51" t="s">
        <v>145</v>
      </c>
      <c r="C5" s="52">
        <f>SUM(C1:C4)</f>
        <v>9364499</v>
      </c>
      <c r="J5" s="22"/>
    </row>
    <row r="8" spans="1:10" x14ac:dyDescent="0.4">
      <c r="B8" t="s">
        <v>143</v>
      </c>
      <c r="F8" s="43"/>
    </row>
    <row r="9" spans="1:10" x14ac:dyDescent="0.4">
      <c r="B9" s="22" t="s">
        <v>134</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166</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175</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215</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226</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231</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238</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249</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265</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272</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277</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301</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144</v>
      </c>
      <c r="C21" s="54">
        <f>SUM(C9:C20)</f>
        <v>8797286.2599999998</v>
      </c>
      <c r="D21" s="69">
        <f>C21/C5</f>
        <v>0.93942946227021862</v>
      </c>
      <c r="H21" s="69"/>
    </row>
    <row r="24" spans="1:8" x14ac:dyDescent="0.4">
      <c r="A24" s="69"/>
      <c r="B24" s="49" t="s">
        <v>136</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C19" sqref="C19"/>
    </sheetView>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269</v>
      </c>
    </row>
    <row r="2" spans="1:10" x14ac:dyDescent="0.4">
      <c r="B2" s="46" t="s">
        <v>140</v>
      </c>
    </row>
    <row r="3" spans="1:10" x14ac:dyDescent="0.4">
      <c r="B3" t="s">
        <v>142</v>
      </c>
      <c r="E3" s="46" t="s">
        <v>315</v>
      </c>
    </row>
    <row r="4" spans="1:10" x14ac:dyDescent="0.4">
      <c r="B4" s="47" t="s">
        <v>309</v>
      </c>
      <c r="C4" s="48">
        <f>Contributions!G14</f>
        <v>11029283.289999999</v>
      </c>
      <c r="E4" s="22" t="s">
        <v>138</v>
      </c>
      <c r="F4" s="42">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LOG_FY24'!E4,'20771'!$H:$H)+SUMIF('20772'!$E:$E,'JE LOG_FY24'!E4,'20772'!$H:$H)+SUMIF('20735'!$E:$E,'JE LOG_FY24'!E4,'20735'!$H:$H)+SUMIF('20767'!$E:$E,'JE LOG_FY24'!E4,'20767'!$H:$H)+SUMIF('20792'!$E:$E,'JE LOG_FY24'!E4,'20792'!$H:$H)+SUMIF('20811'!$E:$E,'JE LOG_FY24'!E4,'20811'!$H:$H)+SUMIF('20831'!$E:$E,'JE LOG_FY24'!E4,'20831'!$H:$H)+SUMIF('20832'!$E:$E,'JE LOG_FY24'!E4,'20832'!$H:$H)+SUMIF('20833'!$E:$E,'JE LOG_FY24'!E4,'20833'!$H:$H)+SUMIF('20857'!$E:$E,'JE LOG_FY24'!E4,'20857'!$H:$H)+SUMIF('20884'!$E:$E,'JE LOG_FY24'!E4,'20884'!$H:$H)+SUMIF('20885'!$E:$E,'JE LOG_FY24'!E4,'20885'!$H:$H)+SUMIF('20911'!$E:$E,'JE LOG_FY24'!E4,'20911'!$H:$H)+SUMIF('20912'!$E:$E,'JE LOG_FY24'!E4,'20912'!$H:$H)+SUMIF('20913'!$E:$E,'JE LOG_FY24'!E4,'20913'!$H:$H)+SUMIF('20922'!$E:$E,'JE LOG_FY24'!E4,'20922'!$H:$H)+SUMIF('20924'!$E:$E,'JE LOG_FY24'!E4,'20924'!$H:$H)+SUMIF('20936'!$E:$E,'JE LOG_FY24'!E4,'20936'!$H:$H)+SUMIF('20945'!$E:$E,'JE LOG_FY24'!E4,'20945'!$H:$H)+SUMIF('20958'!$E:$E,'JE LOG_FY24'!E4,'20958'!$H:$H)+SUMIF('20982'!$E:$E,'JE LOG_FY24'!E4,'20982'!$H:$H)</f>
        <v>0</v>
      </c>
    </row>
    <row r="5" spans="1:10" x14ac:dyDescent="0.4">
      <c r="B5" s="51" t="s">
        <v>145</v>
      </c>
      <c r="C5" s="52">
        <f>SUM(C1:C4)</f>
        <v>11029283.289999999</v>
      </c>
      <c r="J5" s="22"/>
    </row>
    <row r="8" spans="1:10" x14ac:dyDescent="0.4">
      <c r="B8" t="s">
        <v>143</v>
      </c>
      <c r="F8" s="43"/>
    </row>
    <row r="9" spans="1:10" x14ac:dyDescent="0.4">
      <c r="B9" s="22" t="s">
        <v>314</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325</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336</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355</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357</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373</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390</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399</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412</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442</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144</v>
      </c>
      <c r="C21" s="54">
        <f>SUM(C9:C20)</f>
        <v>11427472.939999999</v>
      </c>
      <c r="D21" s="69"/>
      <c r="H21" s="69"/>
    </row>
    <row r="23" spans="1:20" x14ac:dyDescent="0.4">
      <c r="B23" s="22" t="s">
        <v>316</v>
      </c>
      <c r="C23" s="42">
        <f>'JE LOG_FY23'!C24</f>
        <v>567212.74000000022</v>
      </c>
    </row>
    <row r="24" spans="1:20" x14ac:dyDescent="0.4">
      <c r="B24" s="22" t="s">
        <v>317</v>
      </c>
      <c r="C24" s="42">
        <f>F4</f>
        <v>0</v>
      </c>
    </row>
    <row r="26" spans="1:20" x14ac:dyDescent="0.4">
      <c r="A26" s="69"/>
      <c r="B26" s="49" t="s">
        <v>136</v>
      </c>
      <c r="C26" s="50">
        <f>C5-C21+C23-C24</f>
        <v>169023.08999999985</v>
      </c>
      <c r="D26" s="69"/>
      <c r="H26" s="69"/>
      <c r="R26" s="211" t="s">
        <v>344</v>
      </c>
      <c r="S26" s="211" t="s">
        <v>345</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6">
        <f>SUM(R27:R29)</f>
        <v>88254</v>
      </c>
      <c r="S30" s="216">
        <f>SUM(S27:S29)</f>
        <v>42533</v>
      </c>
      <c r="T30" s="217">
        <f>SUM(R30:S30)</f>
        <v>130787</v>
      </c>
    </row>
    <row r="31" spans="1:20" x14ac:dyDescent="0.4">
      <c r="S31" s="218">
        <f>S30-R30</f>
        <v>-45721</v>
      </c>
    </row>
    <row r="33" spans="18:20" x14ac:dyDescent="0.4">
      <c r="R33" s="21"/>
      <c r="S33" s="21"/>
    </row>
    <row r="34" spans="18:20" x14ac:dyDescent="0.4">
      <c r="R34" s="211" t="s">
        <v>344</v>
      </c>
      <c r="S34" s="211" t="s">
        <v>345</v>
      </c>
    </row>
    <row r="35" spans="18:20" x14ac:dyDescent="0.4">
      <c r="R35" s="21">
        <v>1964100</v>
      </c>
      <c r="S35" s="21">
        <v>1964100</v>
      </c>
    </row>
    <row r="36" spans="18:20" x14ac:dyDescent="0.4">
      <c r="R36" s="21">
        <v>1964100</v>
      </c>
      <c r="S36" s="21">
        <v>1964100</v>
      </c>
    </row>
    <row r="37" spans="18:20" x14ac:dyDescent="0.4">
      <c r="R37" s="216">
        <f>SUM(R35:R36)</f>
        <v>3928200</v>
      </c>
      <c r="S37" s="216">
        <f>SUM(S35:S36)</f>
        <v>3928200</v>
      </c>
      <c r="T37" s="217"/>
    </row>
    <row r="38" spans="18:20" x14ac:dyDescent="0.4">
      <c r="S38" s="218">
        <f>S37-R37</f>
        <v>0</v>
      </c>
    </row>
    <row r="41" spans="18:20" x14ac:dyDescent="0.4">
      <c r="R41" s="21"/>
      <c r="S41" s="21"/>
    </row>
    <row r="42" spans="18:20" x14ac:dyDescent="0.4">
      <c r="R42" s="211" t="s">
        <v>344</v>
      </c>
      <c r="S42" s="211" t="s">
        <v>345</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6">
        <f>SUM(R43:R46)</f>
        <v>4400.96</v>
      </c>
      <c r="S47" s="216">
        <f>SUM(S43:S46)</f>
        <v>897720</v>
      </c>
      <c r="T47" s="217">
        <f>SUM(R47:S47)</f>
        <v>902120.95999999996</v>
      </c>
    </row>
    <row r="48" spans="18:20" x14ac:dyDescent="0.4">
      <c r="S48" s="218">
        <f>S47-R47</f>
        <v>893319.04</v>
      </c>
    </row>
    <row r="49" spans="18:20" x14ac:dyDescent="0.4">
      <c r="R49" s="21"/>
      <c r="S49" s="21"/>
    </row>
    <row r="51" spans="18:20" x14ac:dyDescent="0.4">
      <c r="R51" s="211" t="s">
        <v>344</v>
      </c>
      <c r="S51" s="211" t="s">
        <v>345</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6">
        <f>SUM(R52:R56)</f>
        <v>121870.32</v>
      </c>
      <c r="S57" s="216">
        <f>SUM(S52:S56)</f>
        <v>110641</v>
      </c>
      <c r="T57" s="217">
        <f>SUM(R57:S57)</f>
        <v>232511.32</v>
      </c>
    </row>
    <row r="58" spans="18:20" x14ac:dyDescent="0.4">
      <c r="S58" s="218">
        <f>S57-R57</f>
        <v>-11229.320000000007</v>
      </c>
    </row>
    <row r="60" spans="18:20" x14ac:dyDescent="0.4">
      <c r="R60" s="211" t="s">
        <v>344</v>
      </c>
      <c r="S60" s="211" t="s">
        <v>345</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6">
        <f>SUM(R61:R66)</f>
        <v>291044.36</v>
      </c>
      <c r="S67" s="216">
        <f>SUM(S61:S66)</f>
        <v>930038</v>
      </c>
      <c r="T67" s="217">
        <f>SUM(R67:S67)</f>
        <v>1221082.3599999999</v>
      </c>
    </row>
    <row r="68" spans="18:20" x14ac:dyDescent="0.4">
      <c r="S68" s="218">
        <f>S67-R67</f>
        <v>638993.64</v>
      </c>
    </row>
    <row r="70" spans="18:20" x14ac:dyDescent="0.4">
      <c r="R70" s="211" t="s">
        <v>344</v>
      </c>
      <c r="S70" s="211" t="s">
        <v>345</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6">
        <f>SUM(R71:R75)</f>
        <v>11525</v>
      </c>
      <c r="S76" s="216">
        <f>SUM(S71:S75)</f>
        <v>1396109.18</v>
      </c>
      <c r="T76" s="217">
        <f>SUM(R76:S76)</f>
        <v>1407634.18</v>
      </c>
    </row>
    <row r="77" spans="18:20" x14ac:dyDescent="0.4">
      <c r="S77" s="218">
        <f>S76-R76</f>
        <v>1384584.18</v>
      </c>
    </row>
    <row r="79" spans="18:20" x14ac:dyDescent="0.4">
      <c r="R79" s="21">
        <v>460074.8</v>
      </c>
      <c r="S79" s="218">
        <f>R79/2</f>
        <v>230037.4</v>
      </c>
    </row>
    <row r="85" spans="18:20" x14ac:dyDescent="0.4">
      <c r="R85" s="211" t="s">
        <v>344</v>
      </c>
      <c r="S85" s="211" t="s">
        <v>345</v>
      </c>
    </row>
    <row r="86" spans="18:20" x14ac:dyDescent="0.4">
      <c r="R86" s="21"/>
      <c r="S86" s="21">
        <v>18175</v>
      </c>
    </row>
    <row r="87" spans="18:20" x14ac:dyDescent="0.4">
      <c r="R87" s="21"/>
      <c r="S87" s="21">
        <v>1600000</v>
      </c>
    </row>
    <row r="88" spans="18:20" x14ac:dyDescent="0.4">
      <c r="R88" s="21">
        <v>23500</v>
      </c>
      <c r="S88" s="21"/>
    </row>
    <row r="89" spans="18:20" x14ac:dyDescent="0.4">
      <c r="R89" s="216">
        <f>SUM(R86:R88)</f>
        <v>23500</v>
      </c>
      <c r="S89" s="216">
        <f>SUM(S86:S88)</f>
        <v>1618175</v>
      </c>
      <c r="T89" s="217">
        <f>SUM(R89:S89)</f>
        <v>1641675</v>
      </c>
    </row>
    <row r="90" spans="18:20" x14ac:dyDescent="0.4">
      <c r="S90" s="218">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J26"/>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s>
  <sheetData>
    <row r="1" spans="1:10" x14ac:dyDescent="0.4">
      <c r="A1" s="141" t="s">
        <v>269</v>
      </c>
    </row>
    <row r="2" spans="1:10" x14ac:dyDescent="0.4">
      <c r="B2" s="46" t="s">
        <v>140</v>
      </c>
    </row>
    <row r="3" spans="1:10" x14ac:dyDescent="0.4">
      <c r="B3" t="s">
        <v>142</v>
      </c>
      <c r="E3" s="46" t="s">
        <v>315</v>
      </c>
    </row>
    <row r="4" spans="1:10" x14ac:dyDescent="0.4">
      <c r="B4" s="47" t="s">
        <v>309</v>
      </c>
      <c r="C4" s="48">
        <f>Contributions!K14</f>
        <v>12857284.462265246</v>
      </c>
      <c r="E4" s="22" t="s">
        <v>138</v>
      </c>
      <c r="F4" s="42">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20857'!$E:$E,E4,'20857'!$H:$H)+SUMIF('20884'!$E:$E,E4,'20884'!$H:$H)+SUMIF('20885'!$E:$E,E4,'20885'!$H:$H)+SUMIF('20911'!$E:$E,E4,'20911'!$H:$H)+SUMIF('20912'!$E:$E,E4,'20912'!$H:$H)+SUMIF('20936'!$E:$E,E4,'20936'!$H:$H)+SUMIF('20945'!$E:$E,E4,'20945'!$H:$H)+SUMIF('20958'!$E:$E,E4,'20958'!$H:$H)+SUMIF('20982'!$E:$E,E4,'20982'!$H:$H)</f>
        <v>0</v>
      </c>
    </row>
    <row r="5" spans="1:10" x14ac:dyDescent="0.4">
      <c r="B5" s="51" t="s">
        <v>145</v>
      </c>
      <c r="C5" s="52">
        <f>SUM(C1:C4)</f>
        <v>12857284.462265246</v>
      </c>
      <c r="J5" s="22"/>
    </row>
    <row r="8" spans="1:10" x14ac:dyDescent="0.4">
      <c r="B8" t="s">
        <v>143</v>
      </c>
      <c r="F8" s="43"/>
    </row>
    <row r="9" spans="1:10" x14ac:dyDescent="0.4">
      <c r="B9" s="22" t="s">
        <v>464</v>
      </c>
      <c r="C9" s="263">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c r="C10" s="263"/>
      <c r="F10" s="134"/>
    </row>
    <row r="11" spans="1:10" x14ac:dyDescent="0.4">
      <c r="B11" s="22"/>
      <c r="C11" s="263"/>
      <c r="F11" s="134"/>
    </row>
    <row r="12" spans="1:10" x14ac:dyDescent="0.4">
      <c r="B12" s="22"/>
      <c r="C12" s="263"/>
      <c r="F12" s="134"/>
    </row>
    <row r="13" spans="1:10" x14ac:dyDescent="0.4">
      <c r="B13" s="22"/>
      <c r="C13" s="263"/>
      <c r="F13" s="134"/>
    </row>
    <row r="14" spans="1:10" x14ac:dyDescent="0.4">
      <c r="B14" s="22"/>
      <c r="C14" s="263"/>
      <c r="F14" s="134"/>
    </row>
    <row r="15" spans="1:10" x14ac:dyDescent="0.4">
      <c r="B15" s="22"/>
      <c r="C15" s="263"/>
      <c r="F15" s="134"/>
    </row>
    <row r="16" spans="1:10" x14ac:dyDescent="0.4">
      <c r="B16" s="22"/>
      <c r="C16" s="263"/>
      <c r="F16" s="134"/>
    </row>
    <row r="17" spans="1:8" x14ac:dyDescent="0.4">
      <c r="B17" s="22"/>
      <c r="C17" s="263"/>
      <c r="F17" s="42"/>
    </row>
    <row r="18" spans="1:8" x14ac:dyDescent="0.4">
      <c r="B18" s="22"/>
      <c r="F18" s="42"/>
    </row>
    <row r="19" spans="1:8" x14ac:dyDescent="0.4">
      <c r="B19" s="22"/>
    </row>
    <row r="20" spans="1:8" x14ac:dyDescent="0.4">
      <c r="B20" s="47"/>
      <c r="C20" s="48"/>
    </row>
    <row r="21" spans="1:8" x14ac:dyDescent="0.4">
      <c r="A21" s="69"/>
      <c r="B21" s="53" t="s">
        <v>144</v>
      </c>
      <c r="C21" s="54">
        <f>SUM(C9:C20)</f>
        <v>1600000</v>
      </c>
      <c r="D21" s="69"/>
      <c r="H21" s="69"/>
    </row>
    <row r="23" spans="1:8" x14ac:dyDescent="0.4">
      <c r="B23" s="22" t="s">
        <v>316</v>
      </c>
      <c r="C23" s="42">
        <f>'JE LOG_FY24'!C26</f>
        <v>169023.08999999985</v>
      </c>
    </row>
    <row r="24" spans="1:8" x14ac:dyDescent="0.4">
      <c r="B24" s="22" t="s">
        <v>317</v>
      </c>
      <c r="C24" s="42">
        <f>F4</f>
        <v>0</v>
      </c>
    </row>
    <row r="26" spans="1:8" x14ac:dyDescent="0.4">
      <c r="A26" s="69"/>
      <c r="B26" s="49" t="s">
        <v>136</v>
      </c>
      <c r="C26" s="50">
        <f>C5-C21+C23-C24</f>
        <v>11426307.552265245</v>
      </c>
      <c r="D26" s="69"/>
      <c r="H26" s="69"/>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1"/>
  <sheetViews>
    <sheetView workbookViewId="0">
      <selection activeCell="B9" sqref="B9"/>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row r="11" spans="2:3" x14ac:dyDescent="0.4">
      <c r="B11" t="s">
        <v>25</v>
      </c>
      <c r="C11" t="s">
        <v>200</v>
      </c>
    </row>
  </sheetData>
  <sortState xmlns:xlrd2="http://schemas.microsoft.com/office/spreadsheetml/2017/richdata2" ref="B2:B10">
    <sortCondition ref="B2:B1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01"/>
  <sheetViews>
    <sheetView zoomScaleNormal="100" workbookViewId="0">
      <pane ySplit="3" topLeftCell="A4" activePane="bottomLeft" state="frozen"/>
      <selection pane="bottomLeft" activeCell="B24" sqref="B24"/>
    </sheetView>
  </sheetViews>
  <sheetFormatPr defaultRowHeight="14.6" x14ac:dyDescent="0.4"/>
  <cols>
    <col min="1" max="1" width="62.84375" bestFit="1" customWidth="1"/>
    <col min="2" max="2" width="15.69140625" style="213" bestFit="1" customWidth="1"/>
    <col min="3" max="3" width="16.3046875" style="213" bestFit="1" customWidth="1"/>
    <col min="4" max="4" width="16" bestFit="1" customWidth="1"/>
  </cols>
  <sheetData>
    <row r="1" spans="1:3" s="8" customFormat="1" x14ac:dyDescent="0.4">
      <c r="A1" s="10" t="s">
        <v>204</v>
      </c>
      <c r="B1" s="213"/>
      <c r="C1" s="213"/>
    </row>
    <row r="3" spans="1:3" x14ac:dyDescent="0.4">
      <c r="A3" s="25" t="s">
        <v>115</v>
      </c>
      <c r="B3" s="213" t="s">
        <v>119</v>
      </c>
      <c r="C3" s="213" t="s">
        <v>117</v>
      </c>
    </row>
    <row r="4" spans="1:3" x14ac:dyDescent="0.4">
      <c r="A4" s="26" t="s">
        <v>28</v>
      </c>
      <c r="B4" s="233">
        <v>4035715.26</v>
      </c>
      <c r="C4" s="233">
        <v>4264088.53</v>
      </c>
    </row>
    <row r="5" spans="1:3" x14ac:dyDescent="0.4">
      <c r="A5" s="22" t="s">
        <v>101</v>
      </c>
      <c r="B5" s="233">
        <v>723184</v>
      </c>
      <c r="C5" s="233">
        <v>932716.27</v>
      </c>
    </row>
    <row r="6" spans="1:3" x14ac:dyDescent="0.4">
      <c r="A6" s="180" t="s">
        <v>259</v>
      </c>
      <c r="B6" s="233">
        <v>149000</v>
      </c>
      <c r="C6" s="233">
        <v>148299</v>
      </c>
    </row>
    <row r="7" spans="1:3" x14ac:dyDescent="0.4">
      <c r="A7" s="180" t="s">
        <v>333</v>
      </c>
      <c r="B7" s="233">
        <v>499184</v>
      </c>
      <c r="C7" s="233">
        <v>499184</v>
      </c>
    </row>
    <row r="8" spans="1:3" x14ac:dyDescent="0.4">
      <c r="A8" s="180" t="s">
        <v>391</v>
      </c>
      <c r="B8" s="233">
        <v>75000</v>
      </c>
      <c r="C8" s="233">
        <v>285233.27</v>
      </c>
    </row>
    <row r="9" spans="1:3" x14ac:dyDescent="0.4">
      <c r="A9" s="22" t="s">
        <v>312</v>
      </c>
      <c r="B9" s="233">
        <v>3312531.26</v>
      </c>
      <c r="C9" s="233">
        <v>3331372.26</v>
      </c>
    </row>
    <row r="10" spans="1:3" x14ac:dyDescent="0.4">
      <c r="A10" s="180" t="s">
        <v>105</v>
      </c>
      <c r="B10" s="233">
        <v>456850</v>
      </c>
      <c r="C10" s="233">
        <v>456850</v>
      </c>
    </row>
    <row r="11" spans="1:3" x14ac:dyDescent="0.4">
      <c r="A11" s="180" t="s">
        <v>108</v>
      </c>
      <c r="B11" s="233">
        <v>17500</v>
      </c>
      <c r="C11" s="233">
        <v>22000</v>
      </c>
    </row>
    <row r="12" spans="1:3" x14ac:dyDescent="0.4">
      <c r="A12" s="180" t="s">
        <v>278</v>
      </c>
      <c r="B12" s="233">
        <v>630554</v>
      </c>
      <c r="C12" s="233">
        <v>630554</v>
      </c>
    </row>
    <row r="13" spans="1:3" x14ac:dyDescent="0.4">
      <c r="A13" s="180" t="s">
        <v>211</v>
      </c>
      <c r="B13" s="233">
        <v>225791</v>
      </c>
      <c r="C13" s="233">
        <v>239341</v>
      </c>
    </row>
    <row r="14" spans="1:3" x14ac:dyDescent="0.4">
      <c r="A14" s="180" t="s">
        <v>320</v>
      </c>
      <c r="B14" s="233">
        <v>5000</v>
      </c>
      <c r="C14" s="233">
        <v>0</v>
      </c>
    </row>
    <row r="15" spans="1:3" x14ac:dyDescent="0.4">
      <c r="A15" s="180" t="s">
        <v>185</v>
      </c>
      <c r="B15" s="233">
        <v>1232681</v>
      </c>
      <c r="C15" s="233">
        <v>1232681</v>
      </c>
    </row>
    <row r="16" spans="1:3" x14ac:dyDescent="0.4">
      <c r="A16" s="180" t="s">
        <v>107</v>
      </c>
      <c r="B16" s="233">
        <v>400000</v>
      </c>
      <c r="C16" s="233">
        <v>405791</v>
      </c>
    </row>
    <row r="17" spans="1:3" x14ac:dyDescent="0.4">
      <c r="A17" s="180" t="s">
        <v>240</v>
      </c>
      <c r="B17" s="233">
        <v>344155.26</v>
      </c>
      <c r="C17" s="233">
        <v>344155.26</v>
      </c>
    </row>
    <row r="18" spans="1:3" x14ac:dyDescent="0.4">
      <c r="A18" s="26" t="s">
        <v>116</v>
      </c>
      <c r="B18" s="233">
        <v>4035715.26</v>
      </c>
      <c r="C18" s="233">
        <v>4264088.53</v>
      </c>
    </row>
    <row r="19" spans="1:3" x14ac:dyDescent="0.4">
      <c r="B19"/>
      <c r="C19"/>
    </row>
    <row r="20" spans="1:3" x14ac:dyDescent="0.4">
      <c r="B20"/>
      <c r="C20"/>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76"/>
  <sheetViews>
    <sheetView zoomScale="90" zoomScaleNormal="90" workbookViewId="0">
      <pane ySplit="3" topLeftCell="A26" activePane="bottomLeft" state="frozen"/>
      <selection pane="bottomLeft"/>
    </sheetView>
  </sheetViews>
  <sheetFormatPr defaultColWidth="9.15234375" defaultRowHeight="14.6" outlineLevelRow="1" outlineLevelCol="1" x14ac:dyDescent="0.4"/>
  <cols>
    <col min="1" max="1" width="4.53515625" style="77" customWidth="1"/>
    <col min="2" max="2" width="11.69140625" style="77" hidden="1" customWidth="1" outlineLevel="1"/>
    <col min="3" max="3" width="8.53515625" style="77" customWidth="1" collapsed="1"/>
    <col min="4" max="4" width="6.3046875" style="77" hidden="1" customWidth="1" outlineLevel="1"/>
    <col min="5" max="5" width="10.3046875" style="77" hidden="1" customWidth="1" outlineLevel="1"/>
    <col min="6" max="6" width="37.53515625" style="77" hidden="1" customWidth="1" outlineLevel="1"/>
    <col min="7" max="7" width="17.3828125" style="77" hidden="1" customWidth="1" outlineLevel="1"/>
    <col min="8" max="8" width="28" style="77" hidden="1" customWidth="1" outlineLevel="1"/>
    <col min="9" max="9" width="47.3828125" style="77" customWidth="1" collapsed="1"/>
    <col min="10" max="10" width="18.15234375" style="77" customWidth="1"/>
    <col min="11" max="11" width="13.15234375" style="77" bestFit="1" customWidth="1"/>
    <col min="12" max="12" width="15" style="100" customWidth="1"/>
    <col min="13" max="16" width="15" style="100" hidden="1" customWidth="1" outlineLevel="1"/>
    <col min="17" max="17" width="15" style="100" customWidth="1" collapsed="1"/>
    <col min="18" max="23" width="15" style="100" customWidth="1"/>
    <col min="24" max="24" width="116.53515625" style="77" customWidth="1"/>
    <col min="25" max="25" width="9.15234375" style="215"/>
    <col min="26" max="16384" width="9.15234375" style="77"/>
  </cols>
  <sheetData>
    <row r="1" spans="1:25" x14ac:dyDescent="0.4">
      <c r="A1" s="75" t="s">
        <v>192</v>
      </c>
      <c r="R1" s="142" t="s">
        <v>270</v>
      </c>
      <c r="S1" s="176" t="s">
        <v>308</v>
      </c>
      <c r="V1" s="176" t="s">
        <v>445</v>
      </c>
    </row>
    <row r="2" spans="1:25" x14ac:dyDescent="0.4">
      <c r="A2" s="78"/>
      <c r="E2" s="79"/>
      <c r="F2" s="80"/>
      <c r="G2" s="80"/>
    </row>
    <row r="3" spans="1:25" s="76" customFormat="1" ht="29.15" x14ac:dyDescent="0.4">
      <c r="A3" s="9"/>
      <c r="B3" s="9" t="s">
        <v>229</v>
      </c>
      <c r="C3" s="9" t="s">
        <v>125</v>
      </c>
      <c r="D3" s="9" t="s">
        <v>126</v>
      </c>
      <c r="E3" s="9" t="s">
        <v>127</v>
      </c>
      <c r="F3" s="81" t="s">
        <v>86</v>
      </c>
      <c r="G3" s="81" t="s">
        <v>203</v>
      </c>
      <c r="H3" s="81" t="s">
        <v>114</v>
      </c>
      <c r="I3" s="81" t="s">
        <v>87</v>
      </c>
      <c r="J3" s="9" t="s">
        <v>128</v>
      </c>
      <c r="K3" s="9" t="s">
        <v>129</v>
      </c>
      <c r="L3" s="101" t="s">
        <v>133</v>
      </c>
      <c r="M3" s="102" t="s">
        <v>130</v>
      </c>
      <c r="N3" s="102" t="s">
        <v>131</v>
      </c>
      <c r="O3" s="102" t="s">
        <v>132</v>
      </c>
      <c r="P3" s="102" t="s">
        <v>223</v>
      </c>
      <c r="Q3" s="101" t="s">
        <v>369</v>
      </c>
      <c r="R3" s="103" t="s">
        <v>242</v>
      </c>
      <c r="S3" s="111" t="s">
        <v>303</v>
      </c>
      <c r="T3" s="143" t="s">
        <v>443</v>
      </c>
      <c r="U3" s="143" t="s">
        <v>271</v>
      </c>
      <c r="V3" s="143" t="s">
        <v>444</v>
      </c>
      <c r="W3" s="191" t="s">
        <v>331</v>
      </c>
      <c r="X3" s="9" t="s">
        <v>183</v>
      </c>
      <c r="Y3" s="190" t="s">
        <v>330</v>
      </c>
    </row>
    <row r="4" spans="1:25" s="207" customFormat="1" hidden="1" outlineLevel="1" x14ac:dyDescent="0.4">
      <c r="A4" s="196">
        <v>1</v>
      </c>
      <c r="B4" s="197" t="s">
        <v>90</v>
      </c>
      <c r="C4" s="198">
        <v>10085</v>
      </c>
      <c r="D4" s="197">
        <v>4591</v>
      </c>
      <c r="E4" s="197"/>
      <c r="F4" s="197" t="s">
        <v>28</v>
      </c>
      <c r="G4" s="199" t="str">
        <f>VLOOKUP(F4,lookup!B:C,2,FALSE)</f>
        <v>Peabody</v>
      </c>
      <c r="H4" s="197" t="s">
        <v>334</v>
      </c>
      <c r="I4" s="197" t="s">
        <v>108</v>
      </c>
      <c r="J4" s="197" t="s">
        <v>312</v>
      </c>
      <c r="K4" s="197" t="s">
        <v>156</v>
      </c>
      <c r="L4" s="200">
        <v>17500</v>
      </c>
      <c r="M4" s="201">
        <v>22000</v>
      </c>
      <c r="N4" s="201">
        <v>17500</v>
      </c>
      <c r="O4" s="201">
        <v>17500</v>
      </c>
      <c r="P4" s="201">
        <v>17500</v>
      </c>
      <c r="Q4" s="200">
        <v>0</v>
      </c>
      <c r="R4" s="202">
        <f>'10085'!H18</f>
        <v>17500</v>
      </c>
      <c r="S4" s="203">
        <v>0</v>
      </c>
      <c r="T4" s="204">
        <v>0</v>
      </c>
      <c r="U4" s="204">
        <v>0</v>
      </c>
      <c r="V4" s="240">
        <f>IF(U4="TBD","TBD",T4+U4)</f>
        <v>0</v>
      </c>
      <c r="W4" s="205">
        <v>0</v>
      </c>
      <c r="X4" s="206" t="s">
        <v>263</v>
      </c>
      <c r="Y4" s="215">
        <f>VLOOKUP(C4,'Summary_by FY'!$C$1:$C$1010,1,FALSE)</f>
        <v>10085</v>
      </c>
    </row>
    <row r="5" spans="1:25" s="207" customFormat="1" hidden="1" outlineLevel="1" x14ac:dyDescent="0.4">
      <c r="A5" s="196">
        <f>A4+1</f>
        <v>2</v>
      </c>
      <c r="B5" s="197" t="s">
        <v>89</v>
      </c>
      <c r="C5" s="198">
        <v>10098</v>
      </c>
      <c r="D5" s="197">
        <v>1627</v>
      </c>
      <c r="E5" s="197" t="s">
        <v>110</v>
      </c>
      <c r="F5" s="197" t="s">
        <v>21</v>
      </c>
      <c r="G5" s="199" t="str">
        <f>VLOOKUP(F5,lookup!B:C,2,FALSE)</f>
        <v>SOM Basic Sciences</v>
      </c>
      <c r="H5" s="197" t="s">
        <v>147</v>
      </c>
      <c r="I5" s="197" t="s">
        <v>291</v>
      </c>
      <c r="J5" s="197" t="s">
        <v>312</v>
      </c>
      <c r="K5" s="197" t="s">
        <v>151</v>
      </c>
      <c r="L5" s="200">
        <v>1216485.5</v>
      </c>
      <c r="M5" s="201">
        <v>1216485.5</v>
      </c>
      <c r="N5" s="201">
        <v>1212084.54</v>
      </c>
      <c r="O5" s="201">
        <v>1212084.54</v>
      </c>
      <c r="P5" s="201">
        <v>1212084.54</v>
      </c>
      <c r="Q5" s="200">
        <v>0</v>
      </c>
      <c r="R5" s="202">
        <f>'10098'!H9</f>
        <v>1216485.5</v>
      </c>
      <c r="S5" s="203">
        <f>'10098'!H10</f>
        <v>-4400.96</v>
      </c>
      <c r="T5" s="204">
        <v>0</v>
      </c>
      <c r="U5" s="204">
        <v>0</v>
      </c>
      <c r="V5" s="240">
        <f t="shared" ref="V5:V57" si="0">IF(U5="TBD","TBD",T5+U5)</f>
        <v>0</v>
      </c>
      <c r="W5" s="205">
        <v>0</v>
      </c>
      <c r="X5" s="206" t="s">
        <v>322</v>
      </c>
      <c r="Y5" s="215">
        <f>VLOOKUP(C5,'Summary_by FY'!$C$1:$C$1010,1,FALSE)</f>
        <v>10098</v>
      </c>
    </row>
    <row r="6" spans="1:25" s="90" customFormat="1" collapsed="1" x14ac:dyDescent="0.4">
      <c r="A6" s="93">
        <f t="shared" ref="A6:A57" si="1">A5+1</f>
        <v>3</v>
      </c>
      <c r="B6" s="91" t="s">
        <v>89</v>
      </c>
      <c r="C6" s="177">
        <v>10146</v>
      </c>
      <c r="D6" s="91">
        <v>4418</v>
      </c>
      <c r="E6" s="91" t="s">
        <v>176</v>
      </c>
      <c r="F6" s="91" t="s">
        <v>177</v>
      </c>
      <c r="G6" s="92" t="str">
        <f>VLOOKUP(F6,lookup!B:C,2,FALSE)</f>
        <v>Nursing</v>
      </c>
      <c r="H6" s="91" t="s">
        <v>338</v>
      </c>
      <c r="I6" s="91" t="s">
        <v>463</v>
      </c>
      <c r="J6" s="91" t="s">
        <v>101</v>
      </c>
      <c r="K6" s="91" t="s">
        <v>156</v>
      </c>
      <c r="L6" s="104">
        <v>318000</v>
      </c>
      <c r="M6" s="105">
        <v>318057</v>
      </c>
      <c r="N6" s="105">
        <v>241766.9</v>
      </c>
      <c r="O6" s="105">
        <v>241766.9</v>
      </c>
      <c r="P6" s="105">
        <v>116075.13</v>
      </c>
      <c r="Q6" s="104"/>
      <c r="R6" s="106">
        <f>'10146'!H9</f>
        <v>4900</v>
      </c>
      <c r="S6" s="112">
        <f>'10146'!H15</f>
        <v>255957</v>
      </c>
      <c r="T6" s="144">
        <v>0</v>
      </c>
      <c r="U6" s="144">
        <v>0</v>
      </c>
      <c r="V6" s="239">
        <f t="shared" si="0"/>
        <v>0</v>
      </c>
      <c r="W6" s="192">
        <v>0</v>
      </c>
      <c r="X6" t="s">
        <v>415</v>
      </c>
      <c r="Y6" s="215">
        <f>VLOOKUP(C6,'Summary_by FY'!$C$1:$C$1010,1,FALSE)</f>
        <v>10146</v>
      </c>
    </row>
    <row r="7" spans="1:25" s="90" customFormat="1" x14ac:dyDescent="0.4">
      <c r="A7" s="93">
        <f t="shared" si="1"/>
        <v>4</v>
      </c>
      <c r="B7" s="91" t="s">
        <v>89</v>
      </c>
      <c r="C7" s="177">
        <v>20179</v>
      </c>
      <c r="D7" s="91">
        <v>36015</v>
      </c>
      <c r="E7" s="91" t="s">
        <v>104</v>
      </c>
      <c r="F7" s="91" t="s">
        <v>154</v>
      </c>
      <c r="G7" s="92" t="str">
        <f>VLOOKUP(F7,lookup!B:C,2,FALSE)</f>
        <v>Law</v>
      </c>
      <c r="H7" s="91" t="s">
        <v>274</v>
      </c>
      <c r="I7" s="91" t="s">
        <v>273</v>
      </c>
      <c r="J7" s="91" t="s">
        <v>292</v>
      </c>
      <c r="K7" s="91" t="s">
        <v>155</v>
      </c>
      <c r="L7" s="104">
        <v>1445389</v>
      </c>
      <c r="M7" s="105">
        <v>1445389</v>
      </c>
      <c r="N7" s="105">
        <v>1352423.14</v>
      </c>
      <c r="O7" s="105">
        <v>1352423.14</v>
      </c>
      <c r="P7" s="105">
        <v>1352423.14</v>
      </c>
      <c r="Q7" s="181">
        <v>92965.86</v>
      </c>
      <c r="R7" s="106">
        <f>'20179'!H9</f>
        <v>722694.5</v>
      </c>
      <c r="S7" s="112">
        <v>0</v>
      </c>
      <c r="T7" s="144">
        <v>0</v>
      </c>
      <c r="U7" s="144">
        <v>0</v>
      </c>
      <c r="V7" s="239">
        <f t="shared" si="0"/>
        <v>0</v>
      </c>
      <c r="W7" s="192">
        <v>0</v>
      </c>
      <c r="X7" t="s">
        <v>416</v>
      </c>
      <c r="Y7" s="215">
        <f>VLOOKUP(C7,'Summary_by FY'!$C$1:$C$1010,1,FALSE)</f>
        <v>20179</v>
      </c>
    </row>
    <row r="8" spans="1:25" s="207" customFormat="1" hidden="1" outlineLevel="1" x14ac:dyDescent="0.4">
      <c r="A8" s="196">
        <f t="shared" si="1"/>
        <v>5</v>
      </c>
      <c r="B8" s="197" t="s">
        <v>89</v>
      </c>
      <c r="C8" s="198">
        <v>20336</v>
      </c>
      <c r="D8" s="197">
        <v>20075</v>
      </c>
      <c r="E8" s="197" t="s">
        <v>102</v>
      </c>
      <c r="F8" s="197" t="s">
        <v>12</v>
      </c>
      <c r="G8" s="199" t="str">
        <f>VLOOKUP(F8,lookup!B:C,2,FALSE)</f>
        <v>Blair</v>
      </c>
      <c r="H8" s="197" t="s">
        <v>150</v>
      </c>
      <c r="I8" s="197" t="s">
        <v>187</v>
      </c>
      <c r="J8" s="197" t="s">
        <v>312</v>
      </c>
      <c r="K8" s="197" t="s">
        <v>149</v>
      </c>
      <c r="L8" s="200">
        <v>327890</v>
      </c>
      <c r="M8" s="201">
        <v>327890</v>
      </c>
      <c r="N8" s="201">
        <v>280600</v>
      </c>
      <c r="O8" s="201">
        <v>280600</v>
      </c>
      <c r="P8" s="201">
        <v>280600</v>
      </c>
      <c r="Q8" s="200"/>
      <c r="R8" s="202">
        <f>'20336'!H9+'20336'!H10+'20336'!H11</f>
        <v>327890</v>
      </c>
      <c r="S8" s="203">
        <f>'20336'!H12</f>
        <v>-47290</v>
      </c>
      <c r="T8" s="144">
        <v>0</v>
      </c>
      <c r="U8" s="204">
        <v>0</v>
      </c>
      <c r="V8" s="240">
        <f t="shared" si="0"/>
        <v>0</v>
      </c>
      <c r="W8" s="205">
        <v>0</v>
      </c>
      <c r="X8" s="206" t="s">
        <v>362</v>
      </c>
      <c r="Y8" s="215">
        <f>VLOOKUP(C8,'Summary_by FY'!$C$1:$C$1010,1,FALSE)</f>
        <v>20336</v>
      </c>
    </row>
    <row r="9" spans="1:25" s="90" customFormat="1" collapsed="1" x14ac:dyDescent="0.4">
      <c r="A9" s="93">
        <f t="shared" si="1"/>
        <v>6</v>
      </c>
      <c r="B9" s="91" t="s">
        <v>89</v>
      </c>
      <c r="C9" s="177">
        <v>20431</v>
      </c>
      <c r="D9" s="91">
        <v>8084</v>
      </c>
      <c r="E9" s="91" t="s">
        <v>103</v>
      </c>
      <c r="F9" s="91" t="s">
        <v>14</v>
      </c>
      <c r="G9" s="92" t="str">
        <f>VLOOKUP(F9,lookup!B:C,2,FALSE)</f>
        <v>Divinity</v>
      </c>
      <c r="H9" s="91" t="s">
        <v>152</v>
      </c>
      <c r="I9" s="91" t="s">
        <v>339</v>
      </c>
      <c r="J9" s="91" t="s">
        <v>101</v>
      </c>
      <c r="K9" s="91" t="s">
        <v>151</v>
      </c>
      <c r="L9" s="104">
        <v>3800000</v>
      </c>
      <c r="M9" s="105">
        <v>3800000</v>
      </c>
      <c r="N9" s="105">
        <v>3582817.72</v>
      </c>
      <c r="O9" s="105">
        <v>3607017.72</v>
      </c>
      <c r="P9" s="105">
        <v>2806495.03</v>
      </c>
      <c r="Q9" s="104"/>
      <c r="R9" s="106">
        <f>'20431'!H10+'20431'!H11+'20431'!H13</f>
        <v>69862.5</v>
      </c>
      <c r="S9" s="112">
        <f>'20431'!H15</f>
        <v>3660360</v>
      </c>
      <c r="T9" s="144">
        <v>0</v>
      </c>
      <c r="U9" s="144">
        <v>0</v>
      </c>
      <c r="V9" s="239">
        <f t="shared" si="0"/>
        <v>0</v>
      </c>
      <c r="W9" s="192">
        <v>0</v>
      </c>
      <c r="X9" t="s">
        <v>417</v>
      </c>
      <c r="Y9" s="215">
        <f>VLOOKUP(C9,'Summary_by FY'!$C$1:$C$1010,1,FALSE)</f>
        <v>20431</v>
      </c>
    </row>
    <row r="10" spans="1:25" s="90" customFormat="1" x14ac:dyDescent="0.4">
      <c r="A10" s="93">
        <f t="shared" si="1"/>
        <v>7</v>
      </c>
      <c r="B10" s="91" t="s">
        <v>89</v>
      </c>
      <c r="C10" s="177">
        <v>20478</v>
      </c>
      <c r="D10" s="91">
        <v>8672</v>
      </c>
      <c r="E10" s="91" t="s">
        <v>233</v>
      </c>
      <c r="F10" s="91" t="s">
        <v>10</v>
      </c>
      <c r="G10" s="92" t="str">
        <f>VLOOKUP(F10,lookup!B:C,2,FALSE)</f>
        <v>Arts &amp; Science</v>
      </c>
      <c r="H10" s="91" t="s">
        <v>243</v>
      </c>
      <c r="I10" s="91" t="s">
        <v>234</v>
      </c>
      <c r="J10" s="91" t="s">
        <v>292</v>
      </c>
      <c r="K10" s="91" t="s">
        <v>235</v>
      </c>
      <c r="L10" s="104">
        <v>2790000</v>
      </c>
      <c r="M10" s="105">
        <v>2790000</v>
      </c>
      <c r="N10" s="105">
        <v>2776273.72</v>
      </c>
      <c r="O10" s="105">
        <v>2776273.72</v>
      </c>
      <c r="P10" s="105">
        <v>2495888.9900000002</v>
      </c>
      <c r="Q10" s="104"/>
      <c r="R10" s="106">
        <f>'20478'!H9+'20478'!H11</f>
        <v>81100</v>
      </c>
      <c r="S10" s="112">
        <f>'20478'!H13</f>
        <v>1028900</v>
      </c>
      <c r="T10" s="144">
        <v>0</v>
      </c>
      <c r="U10" s="144">
        <v>0</v>
      </c>
      <c r="V10" s="239">
        <f t="shared" si="0"/>
        <v>0</v>
      </c>
      <c r="W10" s="192">
        <v>0</v>
      </c>
      <c r="X10" t="s">
        <v>418</v>
      </c>
      <c r="Y10" s="215">
        <f>VLOOKUP(C10,'Summary_by FY'!$C$1:$C$1010,1,FALSE)</f>
        <v>20478</v>
      </c>
    </row>
    <row r="11" spans="1:25" s="90" customFormat="1" x14ac:dyDescent="0.4">
      <c r="A11" s="93">
        <f t="shared" si="1"/>
        <v>8</v>
      </c>
      <c r="B11" s="91" t="s">
        <v>89</v>
      </c>
      <c r="C11" s="177">
        <v>20489</v>
      </c>
      <c r="D11" s="91">
        <v>8051</v>
      </c>
      <c r="E11" s="91" t="s">
        <v>236</v>
      </c>
      <c r="F11" s="91" t="s">
        <v>14</v>
      </c>
      <c r="G11" s="92" t="str">
        <f>VLOOKUP(F11,lookup!B:C,2,FALSE)</f>
        <v>Divinity</v>
      </c>
      <c r="H11" s="91" t="s">
        <v>152</v>
      </c>
      <c r="I11" s="91" t="s">
        <v>396</v>
      </c>
      <c r="J11" s="91" t="s">
        <v>260</v>
      </c>
      <c r="K11" s="91" t="s">
        <v>151</v>
      </c>
      <c r="L11" s="104">
        <v>4650000</v>
      </c>
      <c r="M11" s="105">
        <v>26500</v>
      </c>
      <c r="N11" s="105">
        <v>15895</v>
      </c>
      <c r="O11" s="105">
        <v>15895</v>
      </c>
      <c r="P11" s="105">
        <v>14407.5</v>
      </c>
      <c r="Q11" s="104"/>
      <c r="R11" s="106">
        <f>'20489'!H9</f>
        <v>26500</v>
      </c>
      <c r="S11" s="112">
        <v>0</v>
      </c>
      <c r="T11" s="144">
        <v>0</v>
      </c>
      <c r="U11" s="144">
        <v>0</v>
      </c>
      <c r="V11" s="239">
        <f t="shared" si="0"/>
        <v>0</v>
      </c>
      <c r="W11" s="192">
        <f>4700000-1530000</f>
        <v>3170000</v>
      </c>
      <c r="X11" t="s">
        <v>343</v>
      </c>
      <c r="Y11" s="215">
        <f>VLOOKUP(C11,'Summary_by FY'!$C$1:$C$1010,1,FALSE)</f>
        <v>20489</v>
      </c>
    </row>
    <row r="12" spans="1:25" s="207" customFormat="1" hidden="1" outlineLevel="1" x14ac:dyDescent="0.4">
      <c r="A12" s="196">
        <f t="shared" si="1"/>
        <v>9</v>
      </c>
      <c r="B12" s="197" t="s">
        <v>89</v>
      </c>
      <c r="C12" s="198">
        <v>20497</v>
      </c>
      <c r="D12" s="197">
        <v>529</v>
      </c>
      <c r="E12" s="197" t="s">
        <v>106</v>
      </c>
      <c r="F12" s="197" t="s">
        <v>28</v>
      </c>
      <c r="G12" s="199" t="str">
        <f>VLOOKUP(F12,lookup!B:C,2,FALSE)</f>
        <v>Peabody</v>
      </c>
      <c r="H12" s="197" t="s">
        <v>153</v>
      </c>
      <c r="I12" s="197" t="s">
        <v>105</v>
      </c>
      <c r="J12" s="197" t="s">
        <v>312</v>
      </c>
      <c r="K12" s="197" t="s">
        <v>149</v>
      </c>
      <c r="L12" s="200">
        <v>456850</v>
      </c>
      <c r="M12" s="201">
        <v>456850</v>
      </c>
      <c r="N12" s="201">
        <v>412000</v>
      </c>
      <c r="O12" s="201">
        <v>412000</v>
      </c>
      <c r="P12" s="201">
        <v>412000</v>
      </c>
      <c r="Q12" s="200"/>
      <c r="R12" s="202">
        <f>'20497'!H9</f>
        <v>79415.5</v>
      </c>
      <c r="S12" s="203">
        <f>'20497'!H11</f>
        <v>-44850</v>
      </c>
      <c r="T12" s="144">
        <v>0</v>
      </c>
      <c r="U12" s="204">
        <v>0</v>
      </c>
      <c r="V12" s="240">
        <f t="shared" si="0"/>
        <v>0</v>
      </c>
      <c r="W12" s="205">
        <v>0</v>
      </c>
      <c r="X12" s="206" t="s">
        <v>328</v>
      </c>
      <c r="Y12" s="215">
        <f>VLOOKUP(C12,'Summary_by FY'!$C$1:$C$1010,1,FALSE)</f>
        <v>20497</v>
      </c>
    </row>
    <row r="13" spans="1:25" s="207" customFormat="1" hidden="1" outlineLevel="1" x14ac:dyDescent="0.4">
      <c r="A13" s="196">
        <f t="shared" si="1"/>
        <v>10</v>
      </c>
      <c r="B13" s="197" t="s">
        <v>89</v>
      </c>
      <c r="C13" s="198">
        <v>20506</v>
      </c>
      <c r="D13" s="197">
        <v>1170</v>
      </c>
      <c r="E13" s="197" t="s">
        <v>253</v>
      </c>
      <c r="F13" s="197" t="s">
        <v>28</v>
      </c>
      <c r="G13" s="199" t="str">
        <f>VLOOKUP(F13,lookup!B:C,2,FALSE)</f>
        <v>Peabody</v>
      </c>
      <c r="H13" s="197" t="s">
        <v>160</v>
      </c>
      <c r="I13" s="197" t="s">
        <v>240</v>
      </c>
      <c r="J13" s="197" t="s">
        <v>312</v>
      </c>
      <c r="K13" s="197" t="s">
        <v>149</v>
      </c>
      <c r="L13" s="200">
        <v>344155.26</v>
      </c>
      <c r="M13" s="201">
        <v>344155.26</v>
      </c>
      <c r="N13" s="201">
        <v>307776.26</v>
      </c>
      <c r="O13" s="201">
        <v>307776.26</v>
      </c>
      <c r="P13" s="201">
        <v>307776.26</v>
      </c>
      <c r="Q13" s="200"/>
      <c r="R13" s="202">
        <f>'20506'!H9</f>
        <v>344155.26</v>
      </c>
      <c r="S13" s="203">
        <f>'20506'!H10</f>
        <v>-36379</v>
      </c>
      <c r="T13" s="144">
        <v>0</v>
      </c>
      <c r="U13" s="204">
        <v>0</v>
      </c>
      <c r="V13" s="240">
        <f t="shared" si="0"/>
        <v>0</v>
      </c>
      <c r="W13" s="205">
        <v>0</v>
      </c>
      <c r="X13" s="206" t="s">
        <v>328</v>
      </c>
      <c r="Y13" s="215">
        <f>VLOOKUP(C13,'Summary_by FY'!$C$1:$C$1010,1,FALSE)</f>
        <v>20506</v>
      </c>
    </row>
    <row r="14" spans="1:25" s="207" customFormat="1" hidden="1" outlineLevel="1" x14ac:dyDescent="0.4">
      <c r="A14" s="196">
        <f t="shared" si="1"/>
        <v>11</v>
      </c>
      <c r="B14" s="197" t="s">
        <v>89</v>
      </c>
      <c r="C14" s="198">
        <v>20562</v>
      </c>
      <c r="D14" s="197">
        <v>4564</v>
      </c>
      <c r="E14" s="197" t="s">
        <v>228</v>
      </c>
      <c r="F14" s="197" t="s">
        <v>28</v>
      </c>
      <c r="G14" s="199" t="str">
        <f>VLOOKUP(F14,lookup!B:C,2,FALSE)</f>
        <v>Peabody</v>
      </c>
      <c r="H14" s="197" t="s">
        <v>160</v>
      </c>
      <c r="I14" s="197" t="s">
        <v>107</v>
      </c>
      <c r="J14" s="197" t="s">
        <v>312</v>
      </c>
      <c r="K14" s="197" t="s">
        <v>156</v>
      </c>
      <c r="L14" s="200">
        <v>400000</v>
      </c>
      <c r="M14" s="201">
        <v>405791</v>
      </c>
      <c r="N14" s="201">
        <v>362559.64</v>
      </c>
      <c r="O14" s="201">
        <v>362559.64</v>
      </c>
      <c r="P14" s="201">
        <v>362559.64</v>
      </c>
      <c r="Q14" s="200"/>
      <c r="R14" s="202">
        <f>'20562'!H9</f>
        <v>405791</v>
      </c>
      <c r="S14" s="203">
        <f>'20562'!H10</f>
        <v>-43231.360000000001</v>
      </c>
      <c r="T14" s="144">
        <v>0</v>
      </c>
      <c r="U14" s="204">
        <v>0</v>
      </c>
      <c r="V14" s="240">
        <f t="shared" si="0"/>
        <v>0</v>
      </c>
      <c r="W14" s="205">
        <v>0</v>
      </c>
      <c r="X14" s="206" t="s">
        <v>363</v>
      </c>
      <c r="Y14" s="215">
        <f>VLOOKUP(C14,'Summary_by FY'!$C$1:$C$1010,1,FALSE)</f>
        <v>20562</v>
      </c>
    </row>
    <row r="15" spans="1:25" s="90" customFormat="1" collapsed="1" x14ac:dyDescent="0.4">
      <c r="A15" s="93">
        <f t="shared" si="1"/>
        <v>12</v>
      </c>
      <c r="B15" s="91" t="s">
        <v>216</v>
      </c>
      <c r="C15" s="91">
        <v>20563</v>
      </c>
      <c r="D15" s="91">
        <v>4624</v>
      </c>
      <c r="E15" s="91"/>
      <c r="F15" s="91" t="s">
        <v>15</v>
      </c>
      <c r="G15" s="92" t="str">
        <f>VLOOKUP(F15,lookup!B:C,2,FALSE)</f>
        <v>Engineering</v>
      </c>
      <c r="H15" s="91" t="s">
        <v>161</v>
      </c>
      <c r="I15" s="91" t="s">
        <v>267</v>
      </c>
      <c r="J15" s="91" t="s">
        <v>260</v>
      </c>
      <c r="K15" s="91" t="s">
        <v>149</v>
      </c>
      <c r="L15" s="104">
        <v>386000</v>
      </c>
      <c r="M15" s="105">
        <v>0</v>
      </c>
      <c r="N15" s="105">
        <v>0</v>
      </c>
      <c r="O15" s="105">
        <v>0</v>
      </c>
      <c r="P15" s="105">
        <v>0</v>
      </c>
      <c r="Q15" s="104"/>
      <c r="R15" s="106">
        <v>0</v>
      </c>
      <c r="S15" s="112">
        <v>0</v>
      </c>
      <c r="T15" s="144">
        <v>0</v>
      </c>
      <c r="U15" s="144">
        <v>0</v>
      </c>
      <c r="V15" s="239">
        <f t="shared" si="0"/>
        <v>0</v>
      </c>
      <c r="W15" s="192" t="s">
        <v>216</v>
      </c>
      <c r="X15" t="s">
        <v>268</v>
      </c>
      <c r="Y15" s="215">
        <f>VLOOKUP(C15,'Summary_by FY'!$C$1:$C$1010,1,FALSE)</f>
        <v>20563</v>
      </c>
    </row>
    <row r="16" spans="1:25" s="207" customFormat="1" hidden="1" outlineLevel="1" x14ac:dyDescent="0.4">
      <c r="A16" s="196">
        <f t="shared" si="1"/>
        <v>13</v>
      </c>
      <c r="B16" s="197" t="s">
        <v>89</v>
      </c>
      <c r="C16" s="198">
        <v>20566</v>
      </c>
      <c r="D16" s="197">
        <v>20054</v>
      </c>
      <c r="E16" s="197" t="s">
        <v>158</v>
      </c>
      <c r="F16" s="197" t="s">
        <v>10</v>
      </c>
      <c r="G16" s="199" t="str">
        <f>VLOOKUP(F16,lookup!B:C,2,FALSE)</f>
        <v>Arts &amp; Science</v>
      </c>
      <c r="H16" s="197" t="s">
        <v>159</v>
      </c>
      <c r="I16" s="197" t="s">
        <v>184</v>
      </c>
      <c r="J16" s="197" t="s">
        <v>312</v>
      </c>
      <c r="K16" s="197" t="s">
        <v>149</v>
      </c>
      <c r="L16" s="200">
        <v>781870</v>
      </c>
      <c r="M16" s="201">
        <v>781870</v>
      </c>
      <c r="N16" s="201">
        <v>722586.68</v>
      </c>
      <c r="O16" s="201">
        <v>722586.68</v>
      </c>
      <c r="P16" s="201">
        <v>722586.68</v>
      </c>
      <c r="Q16" s="200"/>
      <c r="R16" s="202">
        <f>'20566'!H9+'20566'!H10</f>
        <v>781870</v>
      </c>
      <c r="S16" s="203">
        <f>'20566'!H11</f>
        <v>-59283.32</v>
      </c>
      <c r="T16" s="144">
        <v>0</v>
      </c>
      <c r="U16" s="204">
        <v>0</v>
      </c>
      <c r="V16" s="240">
        <f t="shared" si="0"/>
        <v>0</v>
      </c>
      <c r="W16" s="205">
        <v>0</v>
      </c>
      <c r="X16" s="206" t="s">
        <v>351</v>
      </c>
      <c r="Y16" s="215">
        <f>VLOOKUP(C16,'Summary_by FY'!$C$1:$C$1010,1,FALSE)</f>
        <v>20566</v>
      </c>
    </row>
    <row r="17" spans="1:25" s="207" customFormat="1" hidden="1" outlineLevel="1" x14ac:dyDescent="0.4">
      <c r="A17" s="196">
        <f t="shared" si="1"/>
        <v>14</v>
      </c>
      <c r="B17" s="197" t="s">
        <v>89</v>
      </c>
      <c r="C17" s="198">
        <v>20573</v>
      </c>
      <c r="D17" s="197">
        <v>8047</v>
      </c>
      <c r="E17" s="197" t="s">
        <v>237</v>
      </c>
      <c r="F17" s="197" t="s">
        <v>28</v>
      </c>
      <c r="G17" s="199" t="str">
        <f>VLOOKUP(F17,lookup!B:C,2,FALSE)</f>
        <v>Peabody</v>
      </c>
      <c r="H17" s="197" t="s">
        <v>160</v>
      </c>
      <c r="I17" s="197" t="s">
        <v>185</v>
      </c>
      <c r="J17" s="197" t="s">
        <v>312</v>
      </c>
      <c r="K17" s="197" t="s">
        <v>149</v>
      </c>
      <c r="L17" s="200">
        <v>1232681</v>
      </c>
      <c r="M17" s="201">
        <v>1232681</v>
      </c>
      <c r="N17" s="201">
        <v>1113460</v>
      </c>
      <c r="O17" s="201">
        <v>1113460</v>
      </c>
      <c r="P17" s="201">
        <v>1113460</v>
      </c>
      <c r="Q17" s="200"/>
      <c r="R17" s="202">
        <f>'20573'!H9</f>
        <v>1232681</v>
      </c>
      <c r="S17" s="203">
        <f>'20573'!H10</f>
        <v>-119221</v>
      </c>
      <c r="T17" s="144">
        <v>0</v>
      </c>
      <c r="U17" s="204">
        <v>0</v>
      </c>
      <c r="V17" s="240">
        <f t="shared" si="0"/>
        <v>0</v>
      </c>
      <c r="W17" s="205">
        <v>0</v>
      </c>
      <c r="X17" s="206" t="s">
        <v>364</v>
      </c>
      <c r="Y17" s="215">
        <f>VLOOKUP(C17,'Summary_by FY'!$C$1:$C$1010,1,FALSE)</f>
        <v>20573</v>
      </c>
    </row>
    <row r="18" spans="1:25" s="207" customFormat="1" hidden="1" outlineLevel="1" x14ac:dyDescent="0.4">
      <c r="A18" s="196">
        <f t="shared" si="1"/>
        <v>15</v>
      </c>
      <c r="B18" s="197" t="s">
        <v>89</v>
      </c>
      <c r="C18" s="198">
        <v>20574</v>
      </c>
      <c r="D18" s="197">
        <v>8145</v>
      </c>
      <c r="E18" s="197" t="s">
        <v>217</v>
      </c>
      <c r="F18" s="197" t="s">
        <v>21</v>
      </c>
      <c r="G18" s="199" t="str">
        <f>VLOOKUP(F18,lookup!B:C,2,FALSE)</f>
        <v>SOM Basic Sciences</v>
      </c>
      <c r="H18" s="197" t="s">
        <v>147</v>
      </c>
      <c r="I18" s="197" t="s">
        <v>186</v>
      </c>
      <c r="J18" s="197" t="s">
        <v>312</v>
      </c>
      <c r="K18" s="197" t="s">
        <v>156</v>
      </c>
      <c r="L18" s="200">
        <v>218202</v>
      </c>
      <c r="M18" s="201">
        <v>218202</v>
      </c>
      <c r="N18" s="201">
        <v>195665</v>
      </c>
      <c r="O18" s="201">
        <v>195665</v>
      </c>
      <c r="P18" s="201">
        <v>195665</v>
      </c>
      <c r="Q18" s="200"/>
      <c r="R18" s="202">
        <f>'20574'!H9</f>
        <v>218202</v>
      </c>
      <c r="S18" s="203">
        <f>'20574'!H10</f>
        <v>-22537</v>
      </c>
      <c r="T18" s="144">
        <v>0</v>
      </c>
      <c r="U18" s="204">
        <v>0</v>
      </c>
      <c r="V18" s="240">
        <f t="shared" si="0"/>
        <v>0</v>
      </c>
      <c r="W18" s="205">
        <v>0</v>
      </c>
      <c r="X18" s="206" t="s">
        <v>363</v>
      </c>
      <c r="Y18" s="215">
        <f>VLOOKUP(C18,'Summary_by FY'!$C$1:$C$1010,1,FALSE)</f>
        <v>20574</v>
      </c>
    </row>
    <row r="19" spans="1:25" s="90" customFormat="1" collapsed="1" x14ac:dyDescent="0.4">
      <c r="A19" s="93">
        <f t="shared" si="1"/>
        <v>16</v>
      </c>
      <c r="B19" s="91" t="s">
        <v>89</v>
      </c>
      <c r="C19" s="177">
        <v>20577</v>
      </c>
      <c r="D19" s="91">
        <v>8146</v>
      </c>
      <c r="E19" s="91" t="s">
        <v>165</v>
      </c>
      <c r="F19" s="91" t="s">
        <v>12</v>
      </c>
      <c r="G19" s="92" t="str">
        <f>VLOOKUP(F19,lookup!B:C,2,FALSE)</f>
        <v>Blair</v>
      </c>
      <c r="H19" s="91" t="s">
        <v>150</v>
      </c>
      <c r="I19" s="91" t="s">
        <v>397</v>
      </c>
      <c r="J19" s="91" t="s">
        <v>178</v>
      </c>
      <c r="K19" s="91" t="s">
        <v>151</v>
      </c>
      <c r="L19" s="104">
        <v>1500000</v>
      </c>
      <c r="M19" s="105">
        <v>223000</v>
      </c>
      <c r="N19" s="105">
        <v>220566.21</v>
      </c>
      <c r="O19" s="105">
        <v>220566.21</v>
      </c>
      <c r="P19" s="105">
        <v>185191.21</v>
      </c>
      <c r="Q19" s="104"/>
      <c r="R19" s="106">
        <f>'20577'!H18</f>
        <v>223000</v>
      </c>
      <c r="S19" s="112">
        <v>0</v>
      </c>
      <c r="T19" s="144">
        <v>0</v>
      </c>
      <c r="U19" s="144">
        <v>1300000</v>
      </c>
      <c r="V19" s="239">
        <f t="shared" si="0"/>
        <v>1300000</v>
      </c>
      <c r="W19" s="192">
        <v>2510000</v>
      </c>
      <c r="X19" t="s">
        <v>419</v>
      </c>
      <c r="Y19" s="215">
        <f>VLOOKUP(C19,'Summary_by FY'!$C$1:$C$1010,1,FALSE)</f>
        <v>20577</v>
      </c>
    </row>
    <row r="20" spans="1:25" s="207" customFormat="1" hidden="1" outlineLevel="1" x14ac:dyDescent="0.4">
      <c r="A20" s="196">
        <f t="shared" si="1"/>
        <v>17</v>
      </c>
      <c r="B20" s="197" t="s">
        <v>89</v>
      </c>
      <c r="C20" s="198">
        <v>20644</v>
      </c>
      <c r="D20" s="197">
        <v>8241</v>
      </c>
      <c r="E20" s="197" t="s">
        <v>220</v>
      </c>
      <c r="F20" s="197" t="s">
        <v>28</v>
      </c>
      <c r="G20" s="199" t="str">
        <f>VLOOKUP(F20,lookup!B:C,2,FALSE)</f>
        <v>Peabody</v>
      </c>
      <c r="H20" s="197" t="s">
        <v>157</v>
      </c>
      <c r="I20" s="197" t="s">
        <v>278</v>
      </c>
      <c r="J20" s="197" t="s">
        <v>312</v>
      </c>
      <c r="K20" s="197" t="s">
        <v>149</v>
      </c>
      <c r="L20" s="200">
        <v>630554</v>
      </c>
      <c r="M20" s="201">
        <v>630554</v>
      </c>
      <c r="N20" s="201">
        <v>571789</v>
      </c>
      <c r="O20" s="201">
        <v>571789</v>
      </c>
      <c r="P20" s="201">
        <v>571789</v>
      </c>
      <c r="Q20" s="200"/>
      <c r="R20" s="202">
        <f>'20644'!H9+'20644'!H10</f>
        <v>630554</v>
      </c>
      <c r="S20" s="203">
        <f>'20644'!H11</f>
        <v>-58765</v>
      </c>
      <c r="T20" s="144">
        <v>0</v>
      </c>
      <c r="U20" s="204">
        <v>0</v>
      </c>
      <c r="V20" s="240">
        <f t="shared" si="0"/>
        <v>0</v>
      </c>
      <c r="W20" s="205">
        <v>0</v>
      </c>
      <c r="X20" s="206" t="s">
        <v>342</v>
      </c>
      <c r="Y20" s="215">
        <f>VLOOKUP(C20,'Summary_by FY'!$C$1:$C$1010,1,FALSE)</f>
        <v>20644</v>
      </c>
    </row>
    <row r="21" spans="1:25" s="207" customFormat="1" hidden="1" outlineLevel="1" x14ac:dyDescent="0.4">
      <c r="A21" s="196">
        <f t="shared" si="1"/>
        <v>18</v>
      </c>
      <c r="B21" s="197" t="s">
        <v>90</v>
      </c>
      <c r="C21" s="198">
        <v>20645</v>
      </c>
      <c r="D21" s="197">
        <v>8239</v>
      </c>
      <c r="E21" s="197"/>
      <c r="F21" s="197" t="s">
        <v>10</v>
      </c>
      <c r="G21" s="199" t="str">
        <f>VLOOKUP(F21,lookup!B:C,2,FALSE)</f>
        <v>Arts &amp; Science</v>
      </c>
      <c r="H21" s="197" t="s">
        <v>148</v>
      </c>
      <c r="I21" s="197" t="s">
        <v>111</v>
      </c>
      <c r="J21" s="197" t="s">
        <v>312</v>
      </c>
      <c r="K21" s="197" t="s">
        <v>149</v>
      </c>
      <c r="L21" s="200">
        <v>125875</v>
      </c>
      <c r="M21" s="201">
        <v>125875</v>
      </c>
      <c r="N21" s="201">
        <v>114350</v>
      </c>
      <c r="O21" s="201">
        <v>114350</v>
      </c>
      <c r="P21" s="201">
        <v>114350</v>
      </c>
      <c r="Q21" s="200"/>
      <c r="R21" s="202">
        <f>'20645'!H9</f>
        <v>125875</v>
      </c>
      <c r="S21" s="203">
        <f>'20645'!H10</f>
        <v>-11525</v>
      </c>
      <c r="T21" s="144">
        <v>0</v>
      </c>
      <c r="U21" s="204">
        <v>0</v>
      </c>
      <c r="V21" s="240">
        <f t="shared" si="0"/>
        <v>0</v>
      </c>
      <c r="W21" s="205">
        <v>0</v>
      </c>
      <c r="X21" s="206" t="s">
        <v>383</v>
      </c>
      <c r="Y21" s="215">
        <f>VLOOKUP(C21,'Summary_by FY'!$C$1:$C$1010,1,FALSE)</f>
        <v>20645</v>
      </c>
    </row>
    <row r="22" spans="1:25" s="90" customFormat="1" collapsed="1" x14ac:dyDescent="0.4">
      <c r="A22" s="93">
        <f t="shared" si="1"/>
        <v>19</v>
      </c>
      <c r="B22" s="91" t="s">
        <v>89</v>
      </c>
      <c r="C22" s="177">
        <v>20667</v>
      </c>
      <c r="D22" s="91">
        <v>8168</v>
      </c>
      <c r="E22" s="91" t="s">
        <v>173</v>
      </c>
      <c r="F22" s="91" t="s">
        <v>15</v>
      </c>
      <c r="G22" s="92" t="str">
        <f>VLOOKUP(F22,lookup!B:C,2,FALSE)</f>
        <v>Engineering</v>
      </c>
      <c r="H22" s="91" t="s">
        <v>163</v>
      </c>
      <c r="I22" s="91" t="s">
        <v>164</v>
      </c>
      <c r="J22" s="91" t="s">
        <v>100</v>
      </c>
      <c r="K22" s="91" t="s">
        <v>156</v>
      </c>
      <c r="L22" s="104">
        <v>2000000</v>
      </c>
      <c r="M22" s="105">
        <v>146500</v>
      </c>
      <c r="N22" s="105">
        <v>146500</v>
      </c>
      <c r="O22" s="105">
        <v>146500</v>
      </c>
      <c r="P22" s="105">
        <v>57500</v>
      </c>
      <c r="Q22" s="104"/>
      <c r="R22" s="106">
        <f>'20667'!H18</f>
        <v>146500</v>
      </c>
      <c r="S22" s="112">
        <v>0</v>
      </c>
      <c r="T22" s="144">
        <v>0</v>
      </c>
      <c r="U22" s="144" t="s">
        <v>216</v>
      </c>
      <c r="V22" s="239" t="str">
        <f t="shared" si="0"/>
        <v>TBD</v>
      </c>
      <c r="W22" s="192">
        <v>0</v>
      </c>
      <c r="X22" t="s">
        <v>420</v>
      </c>
      <c r="Y22" s="215">
        <f>VLOOKUP(C22,'Summary_by FY'!$C$1:$C$1010,1,FALSE)</f>
        <v>20667</v>
      </c>
    </row>
    <row r="23" spans="1:25" s="90" customFormat="1" x14ac:dyDescent="0.4">
      <c r="A23" s="93">
        <f t="shared" si="1"/>
        <v>20</v>
      </c>
      <c r="B23" s="91" t="s">
        <v>89</v>
      </c>
      <c r="C23" s="177">
        <v>20668</v>
      </c>
      <c r="D23" s="91">
        <v>8151</v>
      </c>
      <c r="E23" s="91" t="s">
        <v>188</v>
      </c>
      <c r="F23" s="91" t="s">
        <v>15</v>
      </c>
      <c r="G23" s="92" t="str">
        <f>VLOOKUP(F23,lookup!B:C,2,FALSE)</f>
        <v>Engineering</v>
      </c>
      <c r="H23" s="91" t="s">
        <v>161</v>
      </c>
      <c r="I23" s="91" t="s">
        <v>162</v>
      </c>
      <c r="J23" s="91" t="s">
        <v>100</v>
      </c>
      <c r="K23" s="91" t="s">
        <v>156</v>
      </c>
      <c r="L23" s="104">
        <v>0</v>
      </c>
      <c r="M23" s="105">
        <v>231433</v>
      </c>
      <c r="N23" s="105">
        <v>231433</v>
      </c>
      <c r="O23" s="105">
        <v>231433</v>
      </c>
      <c r="P23" s="105">
        <v>89710</v>
      </c>
      <c r="Q23" s="104"/>
      <c r="R23" s="106">
        <f>'20668'!H9+'20668'!H10</f>
        <v>206500</v>
      </c>
      <c r="S23" s="112">
        <f>'20668'!H11</f>
        <v>24933</v>
      </c>
      <c r="T23" s="144">
        <v>0</v>
      </c>
      <c r="U23" s="144">
        <v>0</v>
      </c>
      <c r="V23" s="239">
        <f t="shared" si="0"/>
        <v>0</v>
      </c>
      <c r="W23" s="192" t="s">
        <v>216</v>
      </c>
      <c r="X23" t="s">
        <v>421</v>
      </c>
      <c r="Y23" s="215">
        <f>VLOOKUP(C23,'Summary_by FY'!$C$1:$C$1010,1,FALSE)</f>
        <v>20668</v>
      </c>
    </row>
    <row r="24" spans="1:25" s="90" customFormat="1" x14ac:dyDescent="0.4">
      <c r="A24" s="93">
        <f t="shared" si="1"/>
        <v>21</v>
      </c>
      <c r="B24" s="91" t="s">
        <v>89</v>
      </c>
      <c r="C24" s="177">
        <v>20698</v>
      </c>
      <c r="D24" s="91">
        <v>1138</v>
      </c>
      <c r="E24" s="91" t="s">
        <v>213</v>
      </c>
      <c r="F24" s="91" t="s">
        <v>10</v>
      </c>
      <c r="G24" s="92" t="str">
        <f>VLOOKUP(F24,lookup!B:C,2,FALSE)</f>
        <v>Arts &amp; Science</v>
      </c>
      <c r="H24" s="91" t="s">
        <v>205</v>
      </c>
      <c r="I24" s="91" t="s">
        <v>218</v>
      </c>
      <c r="J24" s="91" t="s">
        <v>101</v>
      </c>
      <c r="K24" s="91" t="s">
        <v>156</v>
      </c>
      <c r="L24" s="104">
        <v>680000</v>
      </c>
      <c r="M24" s="105">
        <v>678513</v>
      </c>
      <c r="N24" s="105">
        <v>583771</v>
      </c>
      <c r="O24" s="105">
        <v>583771</v>
      </c>
      <c r="P24" s="105">
        <v>243015.9</v>
      </c>
      <c r="Q24" s="104"/>
      <c r="R24" s="106">
        <f>'20698'!H9+'20698'!H10+'20698'!H11</f>
        <v>29250</v>
      </c>
      <c r="S24" s="112">
        <f>'20698'!H12</f>
        <v>649263</v>
      </c>
      <c r="T24" s="144">
        <v>0</v>
      </c>
      <c r="U24" s="144">
        <v>0</v>
      </c>
      <c r="V24" s="239">
        <f t="shared" si="0"/>
        <v>0</v>
      </c>
      <c r="W24" s="192">
        <v>0</v>
      </c>
      <c r="X24" s="194" t="s">
        <v>422</v>
      </c>
      <c r="Y24" s="215">
        <f>VLOOKUP(C24,'Summary_by FY'!$C$1:$C$1010,1,FALSE)</f>
        <v>20698</v>
      </c>
    </row>
    <row r="25" spans="1:25" s="207" customFormat="1" hidden="1" outlineLevel="1" x14ac:dyDescent="0.4">
      <c r="A25" s="196">
        <f t="shared" si="1"/>
        <v>22</v>
      </c>
      <c r="B25" s="197" t="s">
        <v>90</v>
      </c>
      <c r="C25" s="198">
        <v>20700</v>
      </c>
      <c r="D25" s="197">
        <v>851</v>
      </c>
      <c r="E25" s="197"/>
      <c r="F25" s="197" t="s">
        <v>10</v>
      </c>
      <c r="G25" s="199" t="str">
        <f>VLOOKUP(F25,lookup!B:C,2,FALSE)</f>
        <v>Arts &amp; Science</v>
      </c>
      <c r="H25" s="197" t="s">
        <v>159</v>
      </c>
      <c r="I25" s="197" t="s">
        <v>340</v>
      </c>
      <c r="J25" s="197" t="s">
        <v>312</v>
      </c>
      <c r="K25" s="197" t="s">
        <v>156</v>
      </c>
      <c r="L25" s="200">
        <v>80000</v>
      </c>
      <c r="M25" s="201">
        <v>85577</v>
      </c>
      <c r="N25" s="201">
        <v>85576.77</v>
      </c>
      <c r="O25" s="201">
        <v>85576.77</v>
      </c>
      <c r="P25" s="201">
        <v>85576.77</v>
      </c>
      <c r="Q25" s="200"/>
      <c r="R25" s="202">
        <f>'20700'!H9+'20700'!H10</f>
        <v>79623</v>
      </c>
      <c r="S25" s="203">
        <f>'20700'!H11</f>
        <v>5954</v>
      </c>
      <c r="T25" s="144">
        <v>0</v>
      </c>
      <c r="U25" s="204">
        <v>0</v>
      </c>
      <c r="V25" s="240">
        <f t="shared" si="0"/>
        <v>0</v>
      </c>
      <c r="W25" s="205">
        <v>0</v>
      </c>
      <c r="X25" s="209" t="s">
        <v>352</v>
      </c>
      <c r="Y25" s="215">
        <f>VLOOKUP(C25,'Summary_by FY'!$C$1:$C$1010,1,FALSE)</f>
        <v>20700</v>
      </c>
    </row>
    <row r="26" spans="1:25" s="90" customFormat="1" collapsed="1" x14ac:dyDescent="0.4">
      <c r="A26" s="93">
        <f t="shared" si="1"/>
        <v>23</v>
      </c>
      <c r="B26" s="91" t="s">
        <v>89</v>
      </c>
      <c r="C26" s="177">
        <v>20701</v>
      </c>
      <c r="D26" s="91">
        <v>4399</v>
      </c>
      <c r="E26" s="91" t="s">
        <v>266</v>
      </c>
      <c r="F26" s="91" t="s">
        <v>10</v>
      </c>
      <c r="G26" s="92" t="str">
        <f>VLOOKUP(F26,lookup!B:C,2,FALSE)</f>
        <v>Arts &amp; Science</v>
      </c>
      <c r="H26" s="91" t="s">
        <v>206</v>
      </c>
      <c r="I26" s="91" t="s">
        <v>341</v>
      </c>
      <c r="J26" s="91" t="s">
        <v>178</v>
      </c>
      <c r="K26" s="91" t="s">
        <v>156</v>
      </c>
      <c r="L26" s="104">
        <v>500000</v>
      </c>
      <c r="M26" s="105">
        <v>499093</v>
      </c>
      <c r="N26" s="105">
        <v>400593</v>
      </c>
      <c r="O26" s="105">
        <v>400593</v>
      </c>
      <c r="P26" s="105">
        <v>14400</v>
      </c>
      <c r="Q26" s="104"/>
      <c r="R26" s="106">
        <f>'20701'!H18</f>
        <v>499093</v>
      </c>
      <c r="S26" s="112">
        <v>0</v>
      </c>
      <c r="T26" s="144">
        <v>0</v>
      </c>
      <c r="U26" s="144">
        <v>0</v>
      </c>
      <c r="V26" s="239">
        <f t="shared" si="0"/>
        <v>0</v>
      </c>
      <c r="W26" s="192">
        <v>0</v>
      </c>
      <c r="X26" s="195" t="s">
        <v>423</v>
      </c>
      <c r="Y26" s="215">
        <f>VLOOKUP(C26,'Summary_by FY'!$C$1:$C$1010,1,FALSE)</f>
        <v>20701</v>
      </c>
    </row>
    <row r="27" spans="1:25" s="207" customFormat="1" hidden="1" outlineLevel="1" x14ac:dyDescent="0.4">
      <c r="A27" s="196">
        <f t="shared" si="1"/>
        <v>24</v>
      </c>
      <c r="B27" s="197" t="s">
        <v>89</v>
      </c>
      <c r="C27" s="198">
        <v>20702</v>
      </c>
      <c r="D27" s="197">
        <v>8432</v>
      </c>
      <c r="E27" s="197" t="s">
        <v>210</v>
      </c>
      <c r="F27" s="197" t="s">
        <v>28</v>
      </c>
      <c r="G27" s="199" t="str">
        <f>VLOOKUP(F27,lookup!B:C,2,FALSE)</f>
        <v>Peabody</v>
      </c>
      <c r="H27" s="197" t="s">
        <v>160</v>
      </c>
      <c r="I27" s="197" t="s">
        <v>211</v>
      </c>
      <c r="J27" s="197" t="s">
        <v>312</v>
      </c>
      <c r="K27" s="197" t="s">
        <v>149</v>
      </c>
      <c r="L27" s="200">
        <v>225791</v>
      </c>
      <c r="M27" s="201">
        <v>239341</v>
      </c>
      <c r="N27" s="201">
        <v>209419</v>
      </c>
      <c r="O27" s="201">
        <v>209419</v>
      </c>
      <c r="P27" s="201">
        <v>209419</v>
      </c>
      <c r="Q27" s="200"/>
      <c r="R27" s="202">
        <f>'20702'!H9+'20702'!H10</f>
        <v>239341</v>
      </c>
      <c r="S27" s="203">
        <f>'20702'!H11</f>
        <v>-29922</v>
      </c>
      <c r="T27" s="144">
        <v>0</v>
      </c>
      <c r="U27" s="204">
        <v>0</v>
      </c>
      <c r="V27" s="240">
        <f t="shared" si="0"/>
        <v>0</v>
      </c>
      <c r="W27" s="205">
        <v>0</v>
      </c>
      <c r="X27" s="209" t="s">
        <v>365</v>
      </c>
      <c r="Y27" s="215">
        <f>VLOOKUP(C27,'Summary_by FY'!$C$1:$C$1010,1,FALSE)</f>
        <v>20702</v>
      </c>
    </row>
    <row r="28" spans="1:25" s="207" customFormat="1" hidden="1" outlineLevel="1" x14ac:dyDescent="0.4">
      <c r="A28" s="196">
        <f t="shared" si="1"/>
        <v>25</v>
      </c>
      <c r="B28" s="197" t="s">
        <v>89</v>
      </c>
      <c r="C28" s="198">
        <v>20718</v>
      </c>
      <c r="D28" s="197">
        <v>8608</v>
      </c>
      <c r="E28" s="197" t="s">
        <v>254</v>
      </c>
      <c r="F28" s="197" t="s">
        <v>10</v>
      </c>
      <c r="G28" s="199" t="str">
        <f>VLOOKUP(F28,lookup!B:C,2,FALSE)</f>
        <v>Arts &amp; Science</v>
      </c>
      <c r="H28" s="197" t="s">
        <v>255</v>
      </c>
      <c r="I28" s="197" t="s">
        <v>256</v>
      </c>
      <c r="J28" s="197" t="s">
        <v>312</v>
      </c>
      <c r="K28" s="197" t="s">
        <v>257</v>
      </c>
      <c r="L28" s="200">
        <v>715000</v>
      </c>
      <c r="M28" s="201">
        <v>715000</v>
      </c>
      <c r="N28" s="201">
        <v>656784.6</v>
      </c>
      <c r="O28" s="201">
        <v>656784.6</v>
      </c>
      <c r="P28" s="201">
        <v>656576.59</v>
      </c>
      <c r="Q28" s="200"/>
      <c r="R28" s="202">
        <f>'20718'!H9</f>
        <v>96166</v>
      </c>
      <c r="S28" s="203">
        <v>0</v>
      </c>
      <c r="T28" s="144">
        <v>0</v>
      </c>
      <c r="U28" s="204">
        <v>0</v>
      </c>
      <c r="V28" s="240">
        <f t="shared" si="0"/>
        <v>0</v>
      </c>
      <c r="W28" s="205">
        <v>0</v>
      </c>
      <c r="X28" s="209" t="s">
        <v>384</v>
      </c>
      <c r="Y28" s="215">
        <f>VLOOKUP(C28,'Summary_by FY'!$C$1:$C$1010,1,FALSE)</f>
        <v>20718</v>
      </c>
    </row>
    <row r="29" spans="1:25" s="90" customFormat="1" collapsed="1" x14ac:dyDescent="0.4">
      <c r="A29" s="93">
        <f t="shared" si="1"/>
        <v>26</v>
      </c>
      <c r="B29" s="91" t="s">
        <v>89</v>
      </c>
      <c r="C29" s="177">
        <v>20723</v>
      </c>
      <c r="D29" s="91">
        <v>1628</v>
      </c>
      <c r="E29" s="91" t="s">
        <v>248</v>
      </c>
      <c r="F29" s="91" t="s">
        <v>21</v>
      </c>
      <c r="G29" s="92" t="str">
        <f>VLOOKUP(F29,lookup!B:C,2,FALSE)</f>
        <v>SOM Basic Sciences</v>
      </c>
      <c r="H29" s="91" t="s">
        <v>147</v>
      </c>
      <c r="I29" s="91" t="s">
        <v>293</v>
      </c>
      <c r="J29" s="91" t="s">
        <v>178</v>
      </c>
      <c r="K29" s="91" t="s">
        <v>337</v>
      </c>
      <c r="L29" s="104">
        <v>1610000</v>
      </c>
      <c r="M29" s="105">
        <v>160500</v>
      </c>
      <c r="N29" s="105">
        <v>155232.51999999999</v>
      </c>
      <c r="O29" s="105">
        <v>155232.51999999999</v>
      </c>
      <c r="P29" s="105">
        <v>138595.01999999999</v>
      </c>
      <c r="Q29" s="104"/>
      <c r="R29" s="106">
        <f>'20723'!H18</f>
        <v>160500</v>
      </c>
      <c r="S29" s="112">
        <v>0</v>
      </c>
      <c r="T29" s="144">
        <v>0</v>
      </c>
      <c r="U29" s="144">
        <v>1539500</v>
      </c>
      <c r="V29" s="239">
        <f t="shared" si="0"/>
        <v>1539500</v>
      </c>
      <c r="W29" s="192">
        <v>0</v>
      </c>
      <c r="X29" s="195" t="s">
        <v>424</v>
      </c>
      <c r="Y29" s="215">
        <f>VLOOKUP(C29,'Summary_by FY'!$C$1:$C$1010,1,FALSE)</f>
        <v>20723</v>
      </c>
    </row>
    <row r="30" spans="1:25" s="90" customFormat="1" x14ac:dyDescent="0.4">
      <c r="A30" s="93">
        <f t="shared" si="1"/>
        <v>27</v>
      </c>
      <c r="B30" s="91" t="s">
        <v>89</v>
      </c>
      <c r="C30" s="177">
        <v>20724</v>
      </c>
      <c r="D30" s="91">
        <v>8557</v>
      </c>
      <c r="E30" s="91" t="s">
        <v>230</v>
      </c>
      <c r="F30" s="91" t="s">
        <v>12</v>
      </c>
      <c r="G30" s="92" t="str">
        <f>VLOOKUP(F30,lookup!B:C,2,FALSE)</f>
        <v>Blair</v>
      </c>
      <c r="H30" s="91" t="s">
        <v>150</v>
      </c>
      <c r="I30" s="91" t="s">
        <v>398</v>
      </c>
      <c r="J30" s="91" t="s">
        <v>101</v>
      </c>
      <c r="K30" s="91" t="s">
        <v>151</v>
      </c>
      <c r="L30" s="104">
        <v>1987500</v>
      </c>
      <c r="M30" s="105">
        <v>1987500</v>
      </c>
      <c r="N30" s="105">
        <v>1784625</v>
      </c>
      <c r="O30" s="105">
        <v>1784625</v>
      </c>
      <c r="P30" s="105">
        <v>1064006.6499999999</v>
      </c>
      <c r="Q30" s="104"/>
      <c r="R30" s="106">
        <f>'20724'!H9</f>
        <v>23400</v>
      </c>
      <c r="S30" s="112">
        <f>'20724'!H10</f>
        <v>1964100</v>
      </c>
      <c r="T30" s="144">
        <v>0</v>
      </c>
      <c r="U30" s="144">
        <v>0</v>
      </c>
      <c r="V30" s="239">
        <f t="shared" si="0"/>
        <v>0</v>
      </c>
      <c r="W30" s="192">
        <v>0</v>
      </c>
      <c r="X30" s="195" t="s">
        <v>425</v>
      </c>
      <c r="Y30" s="215">
        <f>VLOOKUP(C30,'Summary_by FY'!$C$1:$C$1010,1,FALSE)</f>
        <v>20724</v>
      </c>
    </row>
    <row r="31" spans="1:25" s="207" customFormat="1" hidden="1" outlineLevel="1" x14ac:dyDescent="0.4">
      <c r="A31" s="196">
        <f t="shared" si="1"/>
        <v>28</v>
      </c>
      <c r="B31" s="197" t="s">
        <v>90</v>
      </c>
      <c r="C31" s="198">
        <v>20735</v>
      </c>
      <c r="D31" s="197">
        <v>8226</v>
      </c>
      <c r="E31" s="197"/>
      <c r="F31" s="197" t="s">
        <v>26</v>
      </c>
      <c r="G31" s="199" t="str">
        <f>VLOOKUP(F31,lookup!B:C,2,FALSE)</f>
        <v>Owen</v>
      </c>
      <c r="H31" s="197" t="s">
        <v>241</v>
      </c>
      <c r="I31" s="197" t="s">
        <v>252</v>
      </c>
      <c r="J31" s="197" t="s">
        <v>262</v>
      </c>
      <c r="K31" s="197" t="s">
        <v>149</v>
      </c>
      <c r="L31" s="200">
        <v>300000</v>
      </c>
      <c r="M31" s="201">
        <v>300000</v>
      </c>
      <c r="N31" s="201">
        <v>276500</v>
      </c>
      <c r="O31" s="201">
        <v>276500</v>
      </c>
      <c r="P31" s="201">
        <v>276500</v>
      </c>
      <c r="Q31" s="200">
        <v>0</v>
      </c>
      <c r="R31" s="202">
        <f>'20735'!H9</f>
        <v>300000</v>
      </c>
      <c r="S31" s="203">
        <f>'20735'!H10</f>
        <v>-23500</v>
      </c>
      <c r="T31" s="204">
        <v>0</v>
      </c>
      <c r="U31" s="204">
        <v>0</v>
      </c>
      <c r="V31" s="240">
        <f t="shared" si="0"/>
        <v>0</v>
      </c>
      <c r="W31" s="205">
        <v>0</v>
      </c>
      <c r="X31" s="209" t="s">
        <v>404</v>
      </c>
      <c r="Y31" s="215">
        <f>VLOOKUP(C31,'Summary_by FY'!$C$1:$C$1010,1,FALSE)</f>
        <v>20735</v>
      </c>
    </row>
    <row r="32" spans="1:25" s="90" customFormat="1" collapsed="1" x14ac:dyDescent="0.4">
      <c r="A32" s="93">
        <f t="shared" si="1"/>
        <v>29</v>
      </c>
      <c r="B32" s="91" t="s">
        <v>89</v>
      </c>
      <c r="C32" s="178">
        <v>20767</v>
      </c>
      <c r="D32" s="91">
        <v>8673</v>
      </c>
      <c r="E32" s="91" t="s">
        <v>389</v>
      </c>
      <c r="F32" s="91" t="s">
        <v>28</v>
      </c>
      <c r="G32" s="92" t="str">
        <f>VLOOKUP(F32,lookup!B:C,2,FALSE)</f>
        <v>Peabody</v>
      </c>
      <c r="H32" s="91" t="s">
        <v>258</v>
      </c>
      <c r="I32" s="91" t="s">
        <v>259</v>
      </c>
      <c r="J32" s="91" t="s">
        <v>101</v>
      </c>
      <c r="K32" s="91" t="s">
        <v>321</v>
      </c>
      <c r="L32" s="104">
        <v>149000</v>
      </c>
      <c r="M32" s="105">
        <v>148299</v>
      </c>
      <c r="N32" s="105">
        <v>125699</v>
      </c>
      <c r="O32" s="105">
        <v>125699</v>
      </c>
      <c r="P32" s="105">
        <v>0</v>
      </c>
      <c r="Q32" s="104"/>
      <c r="R32" s="106">
        <v>0</v>
      </c>
      <c r="S32" s="112">
        <f>'20767'!H9</f>
        <v>148299</v>
      </c>
      <c r="T32" s="144">
        <v>0</v>
      </c>
      <c r="U32" s="144">
        <v>0</v>
      </c>
      <c r="V32" s="239">
        <f t="shared" si="0"/>
        <v>0</v>
      </c>
      <c r="W32" s="192">
        <v>0</v>
      </c>
      <c r="X32" s="195" t="s">
        <v>426</v>
      </c>
      <c r="Y32" s="215">
        <f>VLOOKUP(C32,'Summary_by FY'!$C$1:$C$1010,1,FALSE)</f>
        <v>20767</v>
      </c>
    </row>
    <row r="33" spans="1:25" s="207" customFormat="1" hidden="1" outlineLevel="1" x14ac:dyDescent="0.4">
      <c r="A33" s="196">
        <f t="shared" si="1"/>
        <v>30</v>
      </c>
      <c r="B33" s="197" t="s">
        <v>90</v>
      </c>
      <c r="C33" s="208">
        <v>20771</v>
      </c>
      <c r="D33" s="197">
        <v>8674</v>
      </c>
      <c r="E33" s="197"/>
      <c r="F33" s="197" t="s">
        <v>10</v>
      </c>
      <c r="G33" s="199" t="str">
        <f>VLOOKUP(F33,lookup!B:C,2,FALSE)</f>
        <v>Arts &amp; Science</v>
      </c>
      <c r="H33" s="197" t="s">
        <v>159</v>
      </c>
      <c r="I33" s="197" t="s">
        <v>261</v>
      </c>
      <c r="J33" s="197" t="s">
        <v>312</v>
      </c>
      <c r="K33" s="197" t="s">
        <v>156</v>
      </c>
      <c r="L33" s="200">
        <v>25000</v>
      </c>
      <c r="M33" s="201">
        <v>24997</v>
      </c>
      <c r="N33" s="201">
        <v>17972</v>
      </c>
      <c r="O33" s="201">
        <v>17972</v>
      </c>
      <c r="P33" s="201">
        <v>17972</v>
      </c>
      <c r="Q33" s="200"/>
      <c r="R33" s="202">
        <f>'20771'!H9+'20771'!H10</f>
        <v>24997</v>
      </c>
      <c r="S33" s="203">
        <f>'20771'!H11</f>
        <v>-7025</v>
      </c>
      <c r="T33" s="144">
        <v>0</v>
      </c>
      <c r="U33" s="204">
        <v>0</v>
      </c>
      <c r="V33" s="240">
        <f t="shared" si="0"/>
        <v>0</v>
      </c>
      <c r="W33" s="205">
        <v>0</v>
      </c>
      <c r="X33" s="209" t="s">
        <v>313</v>
      </c>
      <c r="Y33" s="215">
        <f>VLOOKUP(C33,'Summary_by FY'!$C$1:$C$1010,1,FALSE)</f>
        <v>20771</v>
      </c>
    </row>
    <row r="34" spans="1:25" s="90" customFormat="1" collapsed="1" x14ac:dyDescent="0.4">
      <c r="A34" s="93">
        <f t="shared" si="1"/>
        <v>31</v>
      </c>
      <c r="B34" s="91" t="s">
        <v>89</v>
      </c>
      <c r="C34" s="178">
        <v>20772</v>
      </c>
      <c r="D34" s="91">
        <v>8675</v>
      </c>
      <c r="E34" s="91" t="s">
        <v>374</v>
      </c>
      <c r="F34" s="91" t="s">
        <v>26</v>
      </c>
      <c r="G34" s="92" t="str">
        <f>VLOOKUP(F34,lookup!B:C,2,FALSE)</f>
        <v>Owen</v>
      </c>
      <c r="H34" s="91" t="s">
        <v>241</v>
      </c>
      <c r="I34" s="91" t="s">
        <v>349</v>
      </c>
      <c r="J34" s="91" t="s">
        <v>101</v>
      </c>
      <c r="K34" s="91" t="s">
        <v>149</v>
      </c>
      <c r="L34" s="104">
        <v>3200000</v>
      </c>
      <c r="M34" s="105">
        <v>3200000</v>
      </c>
      <c r="N34" s="105">
        <v>2936840.14</v>
      </c>
      <c r="O34" s="105">
        <v>2936840.14</v>
      </c>
      <c r="P34" s="105">
        <v>0</v>
      </c>
      <c r="Q34" s="104"/>
      <c r="R34" s="106">
        <v>0</v>
      </c>
      <c r="S34" s="112">
        <f>'20772'!H9</f>
        <v>1600000</v>
      </c>
      <c r="T34" s="144">
        <f>'20772'!H10</f>
        <v>1600000</v>
      </c>
      <c r="U34" s="144">
        <v>0</v>
      </c>
      <c r="V34" s="239">
        <f t="shared" si="0"/>
        <v>1600000</v>
      </c>
      <c r="W34" s="192">
        <v>0</v>
      </c>
      <c r="X34" s="195" t="s">
        <v>427</v>
      </c>
      <c r="Y34" s="215">
        <f>VLOOKUP(C34,'Summary_by FY'!$C$1:$C$1010,1,FALSE)</f>
        <v>20772</v>
      </c>
    </row>
    <row r="35" spans="1:25" s="207" customFormat="1" hidden="1" outlineLevel="1" x14ac:dyDescent="0.4">
      <c r="A35" s="196">
        <f t="shared" si="1"/>
        <v>32</v>
      </c>
      <c r="B35" s="197" t="s">
        <v>89</v>
      </c>
      <c r="C35" s="208">
        <v>20792</v>
      </c>
      <c r="D35" s="197">
        <v>1035</v>
      </c>
      <c r="E35" s="197" t="s">
        <v>280</v>
      </c>
      <c r="F35" s="197" t="s">
        <v>154</v>
      </c>
      <c r="G35" s="199" t="str">
        <f>VLOOKUP(F35,lookup!B:C,2,FALSE)</f>
        <v>Law</v>
      </c>
      <c r="H35" s="197" t="s">
        <v>274</v>
      </c>
      <c r="I35" s="197" t="s">
        <v>275</v>
      </c>
      <c r="J35" s="197" t="s">
        <v>312</v>
      </c>
      <c r="K35" s="197" t="s">
        <v>149</v>
      </c>
      <c r="L35" s="200">
        <v>400000</v>
      </c>
      <c r="M35" s="201">
        <v>483440</v>
      </c>
      <c r="N35" s="201">
        <v>450775</v>
      </c>
      <c r="O35" s="201">
        <v>450775</v>
      </c>
      <c r="P35" s="201">
        <v>450775</v>
      </c>
      <c r="Q35" s="200"/>
      <c r="R35" s="202">
        <f>'20792'!H9</f>
        <v>483440</v>
      </c>
      <c r="S35" s="203">
        <f>'20792'!H10</f>
        <v>-32665</v>
      </c>
      <c r="T35" s="144">
        <v>0</v>
      </c>
      <c r="U35" s="204">
        <v>0</v>
      </c>
      <c r="V35" s="240">
        <f t="shared" si="0"/>
        <v>0</v>
      </c>
      <c r="W35" s="205">
        <v>0</v>
      </c>
      <c r="X35" s="209" t="s">
        <v>366</v>
      </c>
      <c r="Y35" s="215">
        <f>VLOOKUP(C35,'Summary_by FY'!$C$1:$C$1010,1,FALSE)</f>
        <v>20792</v>
      </c>
    </row>
    <row r="36" spans="1:25" s="90" customFormat="1" collapsed="1" x14ac:dyDescent="0.4">
      <c r="A36" s="93">
        <f t="shared" si="1"/>
        <v>33</v>
      </c>
      <c r="B36" s="91" t="s">
        <v>89</v>
      </c>
      <c r="C36" s="178">
        <v>20811</v>
      </c>
      <c r="D36" s="91"/>
      <c r="E36" s="91" t="s">
        <v>394</v>
      </c>
      <c r="F36" s="91" t="s">
        <v>28</v>
      </c>
      <c r="G36" s="92" t="str">
        <f>VLOOKUP(F36,lookup!B:C,2,FALSE)</f>
        <v>Peabody</v>
      </c>
      <c r="H36" s="91" t="s">
        <v>334</v>
      </c>
      <c r="I36" s="91" t="s">
        <v>391</v>
      </c>
      <c r="J36" s="91" t="s">
        <v>101</v>
      </c>
      <c r="K36" s="91" t="s">
        <v>149</v>
      </c>
      <c r="L36" s="104">
        <v>75000</v>
      </c>
      <c r="M36" s="105">
        <v>285233.27</v>
      </c>
      <c r="N36" s="105">
        <v>243124.27</v>
      </c>
      <c r="O36" s="105">
        <v>243124.27</v>
      </c>
      <c r="P36" s="105">
        <v>51320</v>
      </c>
      <c r="Q36" s="104"/>
      <c r="R36" s="106">
        <v>0</v>
      </c>
      <c r="S36" s="112">
        <f>'20811'!H9</f>
        <v>285233.27</v>
      </c>
      <c r="T36" s="144">
        <v>0</v>
      </c>
      <c r="U36" s="144">
        <v>0</v>
      </c>
      <c r="V36" s="239">
        <f t="shared" si="0"/>
        <v>0</v>
      </c>
      <c r="W36" s="192">
        <v>0</v>
      </c>
      <c r="X36" s="91" t="s">
        <v>428</v>
      </c>
      <c r="Y36" s="215">
        <f>VLOOKUP(C36,'Summary_by FY'!$C$1:$C$1010,1,FALSE)</f>
        <v>20811</v>
      </c>
    </row>
    <row r="37" spans="1:25" s="207" customFormat="1" hidden="1" outlineLevel="1" x14ac:dyDescent="0.4">
      <c r="A37" s="196">
        <f t="shared" si="1"/>
        <v>34</v>
      </c>
      <c r="B37" s="197" t="s">
        <v>90</v>
      </c>
      <c r="C37" s="208">
        <v>20831</v>
      </c>
      <c r="D37" s="197">
        <v>8230</v>
      </c>
      <c r="E37" s="197"/>
      <c r="F37" s="197" t="s">
        <v>10</v>
      </c>
      <c r="G37" s="199" t="str">
        <f>VLOOKUP(F37,lookup!B:C,2,FALSE)</f>
        <v>Arts &amp; Science</v>
      </c>
      <c r="H37" s="197" t="s">
        <v>318</v>
      </c>
      <c r="I37" s="197" t="s">
        <v>319</v>
      </c>
      <c r="J37" s="197" t="s">
        <v>312</v>
      </c>
      <c r="K37" s="197" t="s">
        <v>156</v>
      </c>
      <c r="L37" s="200">
        <v>24000</v>
      </c>
      <c r="M37" s="201">
        <v>24000</v>
      </c>
      <c r="N37" s="201">
        <v>24000</v>
      </c>
      <c r="O37" s="201">
        <v>24000</v>
      </c>
      <c r="P37" s="201">
        <v>24000</v>
      </c>
      <c r="Q37" s="200"/>
      <c r="R37" s="202">
        <v>0</v>
      </c>
      <c r="S37" s="203">
        <f>'20831'!H18</f>
        <v>24000</v>
      </c>
      <c r="T37" s="144">
        <v>0</v>
      </c>
      <c r="U37" s="204">
        <v>0</v>
      </c>
      <c r="V37" s="240">
        <f t="shared" si="0"/>
        <v>0</v>
      </c>
      <c r="W37" s="205">
        <v>0</v>
      </c>
      <c r="X37" s="197" t="s">
        <v>367</v>
      </c>
      <c r="Y37" s="215">
        <f>VLOOKUP(C37,'Summary_by FY'!$C$1:$C$1010,1,FALSE)</f>
        <v>20831</v>
      </c>
    </row>
    <row r="38" spans="1:25" s="207" customFormat="1" hidden="1" outlineLevel="1" x14ac:dyDescent="0.4">
      <c r="A38" s="196">
        <f t="shared" si="1"/>
        <v>35</v>
      </c>
      <c r="B38" s="197" t="s">
        <v>90</v>
      </c>
      <c r="C38" s="208">
        <v>20832</v>
      </c>
      <c r="D38" s="197">
        <v>8220</v>
      </c>
      <c r="E38" s="197"/>
      <c r="F38" s="197" t="s">
        <v>10</v>
      </c>
      <c r="G38" s="199" t="str">
        <f>VLOOKUP(F38,lookup!B:C,2,FALSE)</f>
        <v>Arts &amp; Science</v>
      </c>
      <c r="H38" s="197" t="s">
        <v>205</v>
      </c>
      <c r="I38" s="197" t="s">
        <v>310</v>
      </c>
      <c r="J38" s="197" t="s">
        <v>312</v>
      </c>
      <c r="K38" s="197" t="s">
        <v>156</v>
      </c>
      <c r="L38" s="200">
        <v>24000</v>
      </c>
      <c r="M38" s="201">
        <v>24000</v>
      </c>
      <c r="N38" s="201">
        <v>24000</v>
      </c>
      <c r="O38" s="201">
        <v>24000</v>
      </c>
      <c r="P38" s="201">
        <v>24000</v>
      </c>
      <c r="Q38" s="200"/>
      <c r="R38" s="202">
        <v>0</v>
      </c>
      <c r="S38" s="203">
        <f>'20832'!H18</f>
        <v>24000</v>
      </c>
      <c r="T38" s="144">
        <v>0</v>
      </c>
      <c r="U38" s="204">
        <v>0</v>
      </c>
      <c r="V38" s="240">
        <f t="shared" si="0"/>
        <v>0</v>
      </c>
      <c r="W38" s="205">
        <v>0</v>
      </c>
      <c r="X38" s="197" t="s">
        <v>368</v>
      </c>
      <c r="Y38" s="215">
        <f>VLOOKUP(C38,'Summary_by FY'!$C$1:$C$1010,1,FALSE)</f>
        <v>20832</v>
      </c>
    </row>
    <row r="39" spans="1:25" s="207" customFormat="1" hidden="1" outlineLevel="1" x14ac:dyDescent="0.4">
      <c r="A39" s="196">
        <f t="shared" si="1"/>
        <v>36</v>
      </c>
      <c r="B39" s="197" t="s">
        <v>90</v>
      </c>
      <c r="C39" s="208">
        <v>20833</v>
      </c>
      <c r="D39" s="197">
        <v>8215</v>
      </c>
      <c r="E39" s="197"/>
      <c r="F39" s="197" t="s">
        <v>10</v>
      </c>
      <c r="G39" s="199" t="str">
        <f>VLOOKUP(F39,lookup!B:C,2,FALSE)</f>
        <v>Arts &amp; Science</v>
      </c>
      <c r="H39" s="197" t="s">
        <v>206</v>
      </c>
      <c r="I39" s="197" t="s">
        <v>311</v>
      </c>
      <c r="J39" s="197" t="s">
        <v>262</v>
      </c>
      <c r="K39" s="197" t="s">
        <v>156</v>
      </c>
      <c r="L39" s="200">
        <v>24000</v>
      </c>
      <c r="M39" s="201">
        <v>24000</v>
      </c>
      <c r="N39" s="201">
        <v>24000</v>
      </c>
      <c r="O39" s="201">
        <v>24000</v>
      </c>
      <c r="P39" s="201">
        <v>24000</v>
      </c>
      <c r="Q39" s="200"/>
      <c r="R39" s="202">
        <v>0</v>
      </c>
      <c r="S39" s="203">
        <f>'20833'!H18</f>
        <v>24000</v>
      </c>
      <c r="T39" s="144">
        <v>0</v>
      </c>
      <c r="U39" s="204">
        <v>0</v>
      </c>
      <c r="V39" s="240">
        <f t="shared" si="0"/>
        <v>0</v>
      </c>
      <c r="W39" s="205">
        <v>0</v>
      </c>
      <c r="X39" s="197" t="s">
        <v>405</v>
      </c>
      <c r="Y39" s="215">
        <f>VLOOKUP(C39,'Summary_by FY'!$C$1:$C$1010,1,FALSE)</f>
        <v>20833</v>
      </c>
    </row>
    <row r="40" spans="1:25" s="207" customFormat="1" hidden="1" outlineLevel="1" x14ac:dyDescent="0.4">
      <c r="A40" s="196">
        <f t="shared" si="1"/>
        <v>37</v>
      </c>
      <c r="B40" s="197" t="s">
        <v>90</v>
      </c>
      <c r="C40" s="197">
        <v>20834</v>
      </c>
      <c r="D40" s="197"/>
      <c r="E40" s="197"/>
      <c r="F40" s="197" t="s">
        <v>28</v>
      </c>
      <c r="G40" s="199" t="str">
        <f>VLOOKUP(F40,lookup!B:C,2,FALSE)</f>
        <v>Peabody</v>
      </c>
      <c r="H40" s="197" t="s">
        <v>160</v>
      </c>
      <c r="I40" s="197" t="s">
        <v>320</v>
      </c>
      <c r="J40" s="197" t="s">
        <v>312</v>
      </c>
      <c r="K40" s="197" t="s">
        <v>156</v>
      </c>
      <c r="L40" s="200">
        <v>5000</v>
      </c>
      <c r="M40" s="201">
        <v>0</v>
      </c>
      <c r="N40" s="201">
        <v>0</v>
      </c>
      <c r="O40" s="201">
        <v>0</v>
      </c>
      <c r="P40" s="201">
        <v>0</v>
      </c>
      <c r="Q40" s="104"/>
      <c r="R40" s="202">
        <v>0</v>
      </c>
      <c r="S40" s="203">
        <v>0</v>
      </c>
      <c r="T40" s="144">
        <v>0</v>
      </c>
      <c r="U40" s="204">
        <v>0</v>
      </c>
      <c r="V40" s="240">
        <f t="shared" si="0"/>
        <v>0</v>
      </c>
      <c r="W40" s="205">
        <v>0</v>
      </c>
      <c r="X40" s="197" t="s">
        <v>353</v>
      </c>
      <c r="Y40" s="215" t="e">
        <f>VLOOKUP(C40,'Summary_by FY'!$C$1:$C$1010,1,FALSE)</f>
        <v>#N/A</v>
      </c>
    </row>
    <row r="41" spans="1:25" s="90" customFormat="1" collapsed="1" x14ac:dyDescent="0.4">
      <c r="A41" s="93">
        <f t="shared" si="1"/>
        <v>38</v>
      </c>
      <c r="B41" s="91" t="s">
        <v>89</v>
      </c>
      <c r="C41" s="178">
        <v>20857</v>
      </c>
      <c r="D41" s="91">
        <v>8427</v>
      </c>
      <c r="E41" s="91" t="s">
        <v>335</v>
      </c>
      <c r="F41" s="91" t="s">
        <v>28</v>
      </c>
      <c r="G41" s="92" t="str">
        <f>VLOOKUP(F41,lookup!B:C,2,FALSE)</f>
        <v>Peabody</v>
      </c>
      <c r="H41" s="91" t="s">
        <v>334</v>
      </c>
      <c r="I41" s="91" t="s">
        <v>333</v>
      </c>
      <c r="J41" s="91" t="s">
        <v>101</v>
      </c>
      <c r="K41" s="91" t="s">
        <v>149</v>
      </c>
      <c r="L41" s="104">
        <v>499184</v>
      </c>
      <c r="M41" s="105">
        <v>499184</v>
      </c>
      <c r="N41" s="105">
        <v>461612</v>
      </c>
      <c r="O41" s="105">
        <v>461612</v>
      </c>
      <c r="P41" s="105">
        <v>138403.42000000001</v>
      </c>
      <c r="Q41" s="104"/>
      <c r="R41" s="106">
        <v>0</v>
      </c>
      <c r="S41" s="112">
        <f>'20857'!H9+'20857'!H10+'20857'!H11</f>
        <v>499184</v>
      </c>
      <c r="T41" s="144">
        <v>0</v>
      </c>
      <c r="U41" s="144">
        <v>0</v>
      </c>
      <c r="V41" s="239">
        <f t="shared" si="0"/>
        <v>0</v>
      </c>
      <c r="W41" s="192">
        <v>0</v>
      </c>
      <c r="X41" s="91" t="s">
        <v>429</v>
      </c>
      <c r="Y41" s="215">
        <f>VLOOKUP(C41,'Summary_by FY'!$C$1:$C$1010,1,FALSE)</f>
        <v>20857</v>
      </c>
    </row>
    <row r="42" spans="1:25" s="207" customFormat="1" x14ac:dyDescent="0.4">
      <c r="A42" s="196">
        <f t="shared" si="1"/>
        <v>39</v>
      </c>
      <c r="B42" s="91" t="s">
        <v>89</v>
      </c>
      <c r="C42" s="178">
        <v>20884</v>
      </c>
      <c r="D42" s="91"/>
      <c r="E42" s="91" t="s">
        <v>402</v>
      </c>
      <c r="F42" s="91" t="s">
        <v>154</v>
      </c>
      <c r="G42" s="92" t="str">
        <f>VLOOKUP(F42,lookup!B:C,2,FALSE)</f>
        <v>Law</v>
      </c>
      <c r="H42" s="91" t="s">
        <v>274</v>
      </c>
      <c r="I42" s="91" t="s">
        <v>348</v>
      </c>
      <c r="J42" s="91" t="s">
        <v>101</v>
      </c>
      <c r="K42" s="91" t="s">
        <v>149</v>
      </c>
      <c r="L42" s="104">
        <v>0</v>
      </c>
      <c r="M42" s="105">
        <v>675650</v>
      </c>
      <c r="N42" s="105">
        <v>551283</v>
      </c>
      <c r="O42" s="105">
        <v>551283</v>
      </c>
      <c r="P42" s="105">
        <v>81894</v>
      </c>
      <c r="Q42" s="104"/>
      <c r="R42" s="106">
        <v>0</v>
      </c>
      <c r="S42" s="112">
        <f>'20884'!H9</f>
        <v>675650</v>
      </c>
      <c r="T42" s="144">
        <v>0</v>
      </c>
      <c r="U42" s="144">
        <v>0</v>
      </c>
      <c r="V42" s="239">
        <f t="shared" si="0"/>
        <v>0</v>
      </c>
      <c r="W42" s="192">
        <v>0</v>
      </c>
      <c r="X42" s="195" t="s">
        <v>430</v>
      </c>
      <c r="Y42" s="215">
        <f>VLOOKUP(C42,'Summary_by FY'!$C$1:$C$1010,1,FALSE)</f>
        <v>20884</v>
      </c>
    </row>
    <row r="43" spans="1:25" s="90" customFormat="1" x14ac:dyDescent="0.4">
      <c r="A43" s="93">
        <f t="shared" si="1"/>
        <v>40</v>
      </c>
      <c r="B43" s="91" t="s">
        <v>90</v>
      </c>
      <c r="C43" s="178">
        <v>20885</v>
      </c>
      <c r="D43" s="91">
        <v>8676</v>
      </c>
      <c r="E43" s="91"/>
      <c r="F43" s="91" t="s">
        <v>10</v>
      </c>
      <c r="G43" s="92" t="str">
        <f>VLOOKUP(F43,lookup!B:C,2,FALSE)</f>
        <v>Arts &amp; Science</v>
      </c>
      <c r="H43" s="91" t="s">
        <v>350</v>
      </c>
      <c r="I43" s="91" t="s">
        <v>354</v>
      </c>
      <c r="J43" s="91" t="s">
        <v>178</v>
      </c>
      <c r="K43" s="91" t="s">
        <v>156</v>
      </c>
      <c r="L43" s="104">
        <v>99000</v>
      </c>
      <c r="M43" s="105">
        <v>113053.4</v>
      </c>
      <c r="N43" s="105">
        <v>97943.4</v>
      </c>
      <c r="O43" s="105">
        <v>97943.4</v>
      </c>
      <c r="P43" s="105">
        <v>0</v>
      </c>
      <c r="Q43" s="104"/>
      <c r="R43" s="106">
        <v>0</v>
      </c>
      <c r="S43" s="112">
        <f>'20885'!H9+'20885'!H10</f>
        <v>113053.4</v>
      </c>
      <c r="T43" s="144">
        <v>0</v>
      </c>
      <c r="U43" s="144">
        <v>0</v>
      </c>
      <c r="V43" s="239">
        <f t="shared" si="0"/>
        <v>0</v>
      </c>
      <c r="W43" s="192">
        <v>0</v>
      </c>
      <c r="X43" s="195" t="s">
        <v>431</v>
      </c>
      <c r="Y43" s="215">
        <f>VLOOKUP(C43,'Summary_by FY'!$C$1:$C$1010,1,FALSE)</f>
        <v>20885</v>
      </c>
    </row>
    <row r="44" spans="1:25" s="90" customFormat="1" x14ac:dyDescent="0.4">
      <c r="A44" s="93">
        <f t="shared" si="1"/>
        <v>41</v>
      </c>
      <c r="B44" s="91" t="s">
        <v>89</v>
      </c>
      <c r="C44" s="178">
        <v>20911</v>
      </c>
      <c r="D44" s="91">
        <v>8819</v>
      </c>
      <c r="E44" s="91"/>
      <c r="F44" s="91" t="s">
        <v>10</v>
      </c>
      <c r="G44" s="92" t="str">
        <f>VLOOKUP(F44,lookup!B:C,2,FALSE)</f>
        <v>Arts &amp; Science</v>
      </c>
      <c r="H44" s="91" t="s">
        <v>255</v>
      </c>
      <c r="I44" s="91" t="s">
        <v>359</v>
      </c>
      <c r="J44" s="91" t="s">
        <v>101</v>
      </c>
      <c r="K44" s="91" t="s">
        <v>149</v>
      </c>
      <c r="L44" s="104">
        <v>75000</v>
      </c>
      <c r="M44" s="105">
        <v>61045</v>
      </c>
      <c r="N44" s="105">
        <v>54613</v>
      </c>
      <c r="O44" s="105">
        <v>54613</v>
      </c>
      <c r="P44" s="105">
        <v>27256.5</v>
      </c>
      <c r="Q44" s="104"/>
      <c r="R44" s="106">
        <v>0</v>
      </c>
      <c r="S44" s="112">
        <f>'20911'!H9+'20911'!H10</f>
        <v>61045</v>
      </c>
      <c r="T44" s="144">
        <v>0</v>
      </c>
      <c r="U44" s="144">
        <v>0</v>
      </c>
      <c r="V44" s="239">
        <f t="shared" si="0"/>
        <v>0</v>
      </c>
      <c r="W44" s="192">
        <v>0</v>
      </c>
      <c r="X44" s="195" t="s">
        <v>432</v>
      </c>
      <c r="Y44" s="215">
        <f>VLOOKUP(C44,'Summary_by FY'!$C$1:$C$1010,1,FALSE)</f>
        <v>20911</v>
      </c>
    </row>
    <row r="45" spans="1:25" s="90" customFormat="1" x14ac:dyDescent="0.4">
      <c r="A45" s="93">
        <f t="shared" si="1"/>
        <v>42</v>
      </c>
      <c r="B45" s="91" t="s">
        <v>89</v>
      </c>
      <c r="C45" s="178">
        <v>20912</v>
      </c>
      <c r="D45" s="91">
        <v>8822</v>
      </c>
      <c r="E45" s="91"/>
      <c r="F45" s="91" t="s">
        <v>10</v>
      </c>
      <c r="G45" s="92" t="str">
        <f>VLOOKUP(F45,lookup!B:C,2,FALSE)</f>
        <v>Arts &amp; Science</v>
      </c>
      <c r="H45" s="91" t="s">
        <v>148</v>
      </c>
      <c r="I45" s="91" t="s">
        <v>360</v>
      </c>
      <c r="J45" s="91" t="s">
        <v>101</v>
      </c>
      <c r="K45" s="91" t="s">
        <v>149</v>
      </c>
      <c r="L45" s="104">
        <v>75000</v>
      </c>
      <c r="M45" s="105">
        <v>59798</v>
      </c>
      <c r="N45" s="105">
        <v>53366</v>
      </c>
      <c r="O45" s="105">
        <v>53366</v>
      </c>
      <c r="P45" s="105">
        <v>26632.55</v>
      </c>
      <c r="Q45" s="104"/>
      <c r="R45" s="106">
        <v>0</v>
      </c>
      <c r="S45" s="112">
        <f>'20912'!H9+'20912'!H10</f>
        <v>59798</v>
      </c>
      <c r="T45" s="144">
        <v>0</v>
      </c>
      <c r="U45" s="144">
        <v>0</v>
      </c>
      <c r="V45" s="239">
        <f t="shared" si="0"/>
        <v>0</v>
      </c>
      <c r="W45" s="192">
        <v>0</v>
      </c>
      <c r="X45" s="195" t="s">
        <v>432</v>
      </c>
      <c r="Y45" s="215">
        <f>VLOOKUP(C45,'Summary_by FY'!$C$1:$C$1010,1,FALSE)</f>
        <v>20912</v>
      </c>
    </row>
    <row r="46" spans="1:25" s="90" customFormat="1" x14ac:dyDescent="0.4">
      <c r="A46" s="93">
        <f t="shared" si="1"/>
        <v>43</v>
      </c>
      <c r="B46" s="91" t="s">
        <v>89</v>
      </c>
      <c r="C46" s="178">
        <v>20913</v>
      </c>
      <c r="D46" s="91">
        <v>8818</v>
      </c>
      <c r="E46" s="91"/>
      <c r="F46" s="91" t="s">
        <v>10</v>
      </c>
      <c r="G46" s="92" t="str">
        <f>VLOOKUP(F46,lookup!B:C,2,FALSE)</f>
        <v>Arts &amp; Science</v>
      </c>
      <c r="H46" s="91" t="s">
        <v>205</v>
      </c>
      <c r="I46" s="91" t="s">
        <v>361</v>
      </c>
      <c r="J46" s="91" t="s">
        <v>101</v>
      </c>
      <c r="K46" s="91" t="s">
        <v>149</v>
      </c>
      <c r="L46" s="104">
        <v>75000</v>
      </c>
      <c r="M46" s="105">
        <v>96612</v>
      </c>
      <c r="N46" s="105">
        <v>86900</v>
      </c>
      <c r="O46" s="105">
        <v>86900</v>
      </c>
      <c r="P46" s="105">
        <v>43400.05</v>
      </c>
      <c r="Q46" s="104"/>
      <c r="R46" s="106">
        <v>0</v>
      </c>
      <c r="S46" s="112">
        <f>'20913'!H9+'20913'!H10</f>
        <v>96612</v>
      </c>
      <c r="T46" s="144">
        <v>0</v>
      </c>
      <c r="U46" s="144">
        <v>0</v>
      </c>
      <c r="V46" s="239">
        <f t="shared" si="0"/>
        <v>0</v>
      </c>
      <c r="W46" s="192">
        <v>0</v>
      </c>
      <c r="X46" s="195" t="s">
        <v>432</v>
      </c>
      <c r="Y46" s="215">
        <f>VLOOKUP(C46,'Summary_by FY'!$C$1:$C$1010,1,FALSE)</f>
        <v>20913</v>
      </c>
    </row>
    <row r="47" spans="1:25" s="90" customFormat="1" x14ac:dyDescent="0.4">
      <c r="A47" s="93">
        <f t="shared" si="1"/>
        <v>44</v>
      </c>
      <c r="B47" s="91" t="s">
        <v>89</v>
      </c>
      <c r="C47" s="178">
        <v>20922</v>
      </c>
      <c r="D47" s="91">
        <v>8914</v>
      </c>
      <c r="E47" s="91" t="s">
        <v>407</v>
      </c>
      <c r="F47" s="91" t="s">
        <v>10</v>
      </c>
      <c r="G47" s="92" t="str">
        <f>VLOOKUP(F47,lookup!B:C,2,FALSE)</f>
        <v>Arts &amp; Science</v>
      </c>
      <c r="H47" s="91" t="s">
        <v>403</v>
      </c>
      <c r="I47" s="91" t="s">
        <v>409</v>
      </c>
      <c r="J47" s="91" t="s">
        <v>178</v>
      </c>
      <c r="K47" s="91" t="s">
        <v>321</v>
      </c>
      <c r="L47" s="104">
        <v>170000</v>
      </c>
      <c r="M47" s="105">
        <v>197150</v>
      </c>
      <c r="N47" s="105">
        <v>170000</v>
      </c>
      <c r="O47" s="105">
        <v>170000</v>
      </c>
      <c r="P47" s="105">
        <v>0</v>
      </c>
      <c r="Q47" s="104"/>
      <c r="R47" s="106">
        <v>0</v>
      </c>
      <c r="S47" s="112">
        <f>'20922'!H9</f>
        <v>197150</v>
      </c>
      <c r="T47" s="144">
        <v>0</v>
      </c>
      <c r="U47" s="144">
        <v>0</v>
      </c>
      <c r="V47" s="239">
        <f t="shared" si="0"/>
        <v>0</v>
      </c>
      <c r="W47" s="192">
        <v>0</v>
      </c>
      <c r="X47" s="195" t="s">
        <v>433</v>
      </c>
      <c r="Y47" s="215">
        <f>VLOOKUP(C47,'Summary_by FY'!$C$1:$C$1010,1,FALSE)</f>
        <v>20922</v>
      </c>
    </row>
    <row r="48" spans="1:25" s="90" customFormat="1" x14ac:dyDescent="0.4">
      <c r="A48" s="93">
        <f t="shared" si="1"/>
        <v>45</v>
      </c>
      <c r="B48" s="91" t="s">
        <v>90</v>
      </c>
      <c r="C48" s="178">
        <v>20924</v>
      </c>
      <c r="D48" s="91"/>
      <c r="E48" s="91"/>
      <c r="F48" s="91" t="s">
        <v>25</v>
      </c>
      <c r="G48" s="92" t="str">
        <f>VLOOKUP(F48,lookup!B:C,2,FALSE)</f>
        <v>Nursing</v>
      </c>
      <c r="H48" s="91" t="s">
        <v>375</v>
      </c>
      <c r="I48" s="91" t="s">
        <v>377</v>
      </c>
      <c r="J48" s="91" t="s">
        <v>101</v>
      </c>
      <c r="K48" s="91" t="s">
        <v>149</v>
      </c>
      <c r="L48" s="104">
        <v>0</v>
      </c>
      <c r="M48" s="105">
        <v>30570</v>
      </c>
      <c r="N48" s="105">
        <v>24500</v>
      </c>
      <c r="O48" s="105">
        <v>24500</v>
      </c>
      <c r="P48" s="105">
        <v>0</v>
      </c>
      <c r="Q48" s="104"/>
      <c r="R48" s="106">
        <v>0</v>
      </c>
      <c r="S48" s="112">
        <f>'20924'!H9</f>
        <v>30570</v>
      </c>
      <c r="T48" s="144">
        <v>0</v>
      </c>
      <c r="U48" s="144">
        <v>0</v>
      </c>
      <c r="V48" s="239">
        <f t="shared" si="0"/>
        <v>0</v>
      </c>
      <c r="W48" s="192">
        <v>0</v>
      </c>
      <c r="X48" s="195" t="s">
        <v>434</v>
      </c>
      <c r="Y48" s="215">
        <f>VLOOKUP(C48,'Summary_by FY'!$C$1:$C$1010,1,FALSE)</f>
        <v>20924</v>
      </c>
    </row>
    <row r="49" spans="1:25" s="90" customFormat="1" x14ac:dyDescent="0.4">
      <c r="A49" s="93">
        <f t="shared" si="1"/>
        <v>46</v>
      </c>
      <c r="B49" s="91" t="s">
        <v>89</v>
      </c>
      <c r="C49" s="91">
        <v>20925</v>
      </c>
      <c r="D49" s="91"/>
      <c r="E49" s="91"/>
      <c r="F49" s="91" t="s">
        <v>12</v>
      </c>
      <c r="G49" s="92" t="str">
        <f>VLOOKUP(F49,lookup!B:C,2,FALSE)</f>
        <v>Blair</v>
      </c>
      <c r="H49" s="91" t="s">
        <v>150</v>
      </c>
      <c r="I49" s="91" t="s">
        <v>379</v>
      </c>
      <c r="J49" s="91" t="s">
        <v>260</v>
      </c>
      <c r="K49" s="91" t="s">
        <v>151</v>
      </c>
      <c r="L49" s="104">
        <v>2750000</v>
      </c>
      <c r="M49" s="105">
        <v>0</v>
      </c>
      <c r="N49" s="105">
        <v>0</v>
      </c>
      <c r="O49" s="105">
        <v>0</v>
      </c>
      <c r="P49" s="105">
        <v>0</v>
      </c>
      <c r="Q49" s="104"/>
      <c r="R49" s="106">
        <v>0</v>
      </c>
      <c r="S49" s="112">
        <v>0</v>
      </c>
      <c r="T49" s="144">
        <v>0</v>
      </c>
      <c r="U49" s="144">
        <v>0</v>
      </c>
      <c r="V49" s="239">
        <f t="shared" si="0"/>
        <v>0</v>
      </c>
      <c r="W49" s="192">
        <f>L49</f>
        <v>2750000</v>
      </c>
      <c r="X49" s="195" t="s">
        <v>441</v>
      </c>
      <c r="Y49" s="215">
        <f>VLOOKUP(C49,'Summary_by FY'!$C$1:$C$1010,1,FALSE)</f>
        <v>20925</v>
      </c>
    </row>
    <row r="50" spans="1:25" s="90" customFormat="1" x14ac:dyDescent="0.4">
      <c r="A50" s="93">
        <f t="shared" si="1"/>
        <v>47</v>
      </c>
      <c r="B50" s="91" t="s">
        <v>216</v>
      </c>
      <c r="C50" s="91">
        <v>20934</v>
      </c>
      <c r="D50" s="91"/>
      <c r="E50" s="91"/>
      <c r="F50" s="91" t="s">
        <v>10</v>
      </c>
      <c r="G50" s="92" t="str">
        <f>VLOOKUP(F50,lookup!B:C,2,FALSE)</f>
        <v>Arts &amp; Science</v>
      </c>
      <c r="H50" s="91" t="s">
        <v>376</v>
      </c>
      <c r="I50" s="91" t="s">
        <v>380</v>
      </c>
      <c r="J50" s="91" t="s">
        <v>260</v>
      </c>
      <c r="K50" s="91" t="s">
        <v>156</v>
      </c>
      <c r="L50" s="104"/>
      <c r="M50" s="105">
        <v>0</v>
      </c>
      <c r="N50" s="105">
        <v>0</v>
      </c>
      <c r="O50" s="105">
        <v>0</v>
      </c>
      <c r="P50" s="105">
        <v>0</v>
      </c>
      <c r="Q50" s="104"/>
      <c r="R50" s="106">
        <v>0</v>
      </c>
      <c r="S50" s="112">
        <v>0</v>
      </c>
      <c r="T50" s="144">
        <v>0</v>
      </c>
      <c r="U50" s="144" t="s">
        <v>216</v>
      </c>
      <c r="V50" s="239" t="str">
        <f t="shared" si="0"/>
        <v>TBD</v>
      </c>
      <c r="W50" s="192">
        <v>0</v>
      </c>
      <c r="X50" s="91" t="s">
        <v>440</v>
      </c>
      <c r="Y50" s="215">
        <f>VLOOKUP(C50,'Summary_by FY'!$C$1:$C$1010,1,FALSE)</f>
        <v>20934</v>
      </c>
    </row>
    <row r="51" spans="1:25" s="90" customFormat="1" x14ac:dyDescent="0.4">
      <c r="A51" s="93">
        <f t="shared" si="1"/>
        <v>48</v>
      </c>
      <c r="B51" s="91" t="s">
        <v>216</v>
      </c>
      <c r="C51" s="178">
        <v>20936</v>
      </c>
      <c r="D51" s="91">
        <v>8814</v>
      </c>
      <c r="E51" s="91"/>
      <c r="F51" s="91" t="s">
        <v>10</v>
      </c>
      <c r="G51" s="92" t="str">
        <f>VLOOKUP(F51,lookup!B:C,2,FALSE)</f>
        <v>Arts &amp; Science</v>
      </c>
      <c r="H51" s="91" t="s">
        <v>205</v>
      </c>
      <c r="I51" s="91" t="s">
        <v>381</v>
      </c>
      <c r="J51" s="91" t="s">
        <v>101</v>
      </c>
      <c r="K51" s="91" t="s">
        <v>321</v>
      </c>
      <c r="L51" s="104">
        <v>405000</v>
      </c>
      <c r="M51" s="105">
        <v>404655.91</v>
      </c>
      <c r="N51" s="105">
        <v>357255.91</v>
      </c>
      <c r="O51" s="105">
        <v>357255.91</v>
      </c>
      <c r="P51" s="105">
        <v>0</v>
      </c>
      <c r="Q51" s="104"/>
      <c r="R51" s="106">
        <v>0</v>
      </c>
      <c r="S51" s="112">
        <f>'20936'!H9</f>
        <v>404655.91</v>
      </c>
      <c r="T51" s="144">
        <v>0</v>
      </c>
      <c r="U51" s="144">
        <v>0</v>
      </c>
      <c r="V51" s="239">
        <f t="shared" si="0"/>
        <v>0</v>
      </c>
      <c r="W51" s="192">
        <v>0</v>
      </c>
      <c r="X51" s="195" t="s">
        <v>435</v>
      </c>
      <c r="Y51" s="215">
        <f>VLOOKUP(C51,'Summary_by FY'!$C$1:$C$1010,1,FALSE)</f>
        <v>20936</v>
      </c>
    </row>
    <row r="52" spans="1:25" s="90" customFormat="1" x14ac:dyDescent="0.4">
      <c r="A52" s="93">
        <f t="shared" si="1"/>
        <v>49</v>
      </c>
      <c r="B52" s="91" t="s">
        <v>216</v>
      </c>
      <c r="C52" s="91">
        <v>20940</v>
      </c>
      <c r="D52" s="91"/>
      <c r="E52" s="91"/>
      <c r="F52" s="91" t="s">
        <v>15</v>
      </c>
      <c r="G52" s="92" t="str">
        <f>VLOOKUP(F52,lookup!B:C,2,FALSE)</f>
        <v>Engineering</v>
      </c>
      <c r="H52" s="91" t="s">
        <v>163</v>
      </c>
      <c r="I52" s="91" t="s">
        <v>382</v>
      </c>
      <c r="J52" s="91" t="s">
        <v>378</v>
      </c>
      <c r="K52" s="91" t="s">
        <v>156</v>
      </c>
      <c r="L52" s="104">
        <v>0</v>
      </c>
      <c r="M52" s="105">
        <v>0</v>
      </c>
      <c r="N52" s="105">
        <v>0</v>
      </c>
      <c r="O52" s="105">
        <v>0</v>
      </c>
      <c r="P52" s="105">
        <v>0</v>
      </c>
      <c r="Q52" s="104"/>
      <c r="R52" s="106">
        <v>0</v>
      </c>
      <c r="S52" s="112">
        <v>0</v>
      </c>
      <c r="T52" s="144">
        <v>0</v>
      </c>
      <c r="U52" s="144" t="s">
        <v>216</v>
      </c>
      <c r="V52" s="239" t="str">
        <f t="shared" si="0"/>
        <v>TBD</v>
      </c>
      <c r="W52" s="192">
        <v>0</v>
      </c>
      <c r="X52" s="195" t="s">
        <v>436</v>
      </c>
      <c r="Y52" s="215">
        <f>VLOOKUP(C52,'Summary_by FY'!$C$1:$C$1010,1,FALSE)</f>
        <v>20940</v>
      </c>
    </row>
    <row r="53" spans="1:25" s="90" customFormat="1" collapsed="1" x14ac:dyDescent="0.4">
      <c r="A53" s="93">
        <f t="shared" si="1"/>
        <v>50</v>
      </c>
      <c r="B53" s="91" t="s">
        <v>90</v>
      </c>
      <c r="C53" s="178">
        <v>20945</v>
      </c>
      <c r="D53" s="91"/>
      <c r="E53" s="91"/>
      <c r="F53" s="91" t="s">
        <v>395</v>
      </c>
      <c r="G53" s="92" t="s">
        <v>371</v>
      </c>
      <c r="H53" s="91" t="s">
        <v>358</v>
      </c>
      <c r="I53" s="91" t="s">
        <v>388</v>
      </c>
      <c r="J53" s="91" t="s">
        <v>101</v>
      </c>
      <c r="K53" s="91" t="s">
        <v>156</v>
      </c>
      <c r="L53" s="104">
        <v>99000</v>
      </c>
      <c r="M53" s="105">
        <v>99000</v>
      </c>
      <c r="N53" s="105">
        <v>75900</v>
      </c>
      <c r="O53" s="105">
        <v>82897</v>
      </c>
      <c r="P53" s="105">
        <v>0</v>
      </c>
      <c r="Q53" s="104"/>
      <c r="R53" s="106">
        <v>0</v>
      </c>
      <c r="S53" s="112">
        <f>'20945'!H9</f>
        <v>99000</v>
      </c>
      <c r="T53" s="144">
        <v>0</v>
      </c>
      <c r="U53" s="144">
        <v>0</v>
      </c>
      <c r="V53" s="239">
        <f t="shared" si="0"/>
        <v>0</v>
      </c>
      <c r="W53" s="192">
        <v>0</v>
      </c>
      <c r="X53" s="91" t="s">
        <v>437</v>
      </c>
      <c r="Y53" s="215">
        <f>VLOOKUP(C53,'Summary_by FY'!$C$1:$C$1010,1,FALSE)</f>
        <v>20945</v>
      </c>
    </row>
    <row r="54" spans="1:25" s="90" customFormat="1" x14ac:dyDescent="0.4">
      <c r="A54" s="93">
        <f t="shared" si="1"/>
        <v>51</v>
      </c>
      <c r="B54" s="91" t="s">
        <v>216</v>
      </c>
      <c r="C54" s="178">
        <v>20958</v>
      </c>
      <c r="D54" s="91"/>
      <c r="E54" s="91" t="s">
        <v>408</v>
      </c>
      <c r="F54" t="s">
        <v>10</v>
      </c>
      <c r="G54" s="92" t="str">
        <f>VLOOKUP(F54,lookup!B:C,2,FALSE)</f>
        <v>Arts &amp; Science</v>
      </c>
      <c r="H54" s="91" t="s">
        <v>392</v>
      </c>
      <c r="I54" s="11" t="s">
        <v>393</v>
      </c>
      <c r="J54" s="91" t="s">
        <v>100</v>
      </c>
      <c r="K54" s="91" t="s">
        <v>149</v>
      </c>
      <c r="L54" s="104">
        <v>290000</v>
      </c>
      <c r="M54" s="105">
        <v>18175</v>
      </c>
      <c r="N54" s="105">
        <v>18175</v>
      </c>
      <c r="O54" s="105">
        <v>18175</v>
      </c>
      <c r="P54" s="105">
        <v>0</v>
      </c>
      <c r="Q54" s="104"/>
      <c r="R54" s="106">
        <v>0</v>
      </c>
      <c r="S54" s="112">
        <f>'20958'!H9</f>
        <v>18175</v>
      </c>
      <c r="T54" s="144">
        <v>0</v>
      </c>
      <c r="U54" s="144" t="s">
        <v>216</v>
      </c>
      <c r="V54" s="239" t="str">
        <f t="shared" si="0"/>
        <v>TBD</v>
      </c>
      <c r="W54" s="192">
        <v>0</v>
      </c>
      <c r="X54" s="91" t="s">
        <v>438</v>
      </c>
      <c r="Y54" s="215">
        <f>VLOOKUP(C54,'Summary_by FY'!$C$1:$C$1010,1,FALSE)</f>
        <v>20958</v>
      </c>
    </row>
    <row r="55" spans="1:25" s="90" customFormat="1" x14ac:dyDescent="0.4">
      <c r="A55" s="93">
        <f t="shared" si="1"/>
        <v>52</v>
      </c>
      <c r="B55" s="91" t="s">
        <v>216</v>
      </c>
      <c r="C55" s="91">
        <v>20962</v>
      </c>
      <c r="D55" s="91">
        <v>8754</v>
      </c>
      <c r="E55" s="91"/>
      <c r="F55" s="91" t="s">
        <v>10</v>
      </c>
      <c r="G55" s="92" t="str">
        <f>VLOOKUP(F55,lookup!B:C,2,FALSE)</f>
        <v>Arts &amp; Science</v>
      </c>
      <c r="H55" s="91" t="s">
        <v>403</v>
      </c>
      <c r="I55" s="90" t="s">
        <v>401</v>
      </c>
      <c r="J55" s="91" t="s">
        <v>378</v>
      </c>
      <c r="K55" s="91" t="s">
        <v>149</v>
      </c>
      <c r="L55" s="104">
        <v>0</v>
      </c>
      <c r="M55" s="105">
        <v>0</v>
      </c>
      <c r="N55" s="105">
        <v>0</v>
      </c>
      <c r="O55" s="105">
        <v>0</v>
      </c>
      <c r="P55" s="105">
        <v>0</v>
      </c>
      <c r="Q55" s="104"/>
      <c r="R55" s="106">
        <v>0</v>
      </c>
      <c r="S55" s="112">
        <v>0</v>
      </c>
      <c r="T55" s="144">
        <v>0</v>
      </c>
      <c r="U55" s="144" t="s">
        <v>216</v>
      </c>
      <c r="V55" s="239" t="str">
        <f t="shared" si="0"/>
        <v>TBD</v>
      </c>
      <c r="W55" s="192">
        <v>0</v>
      </c>
      <c r="X55" s="91" t="s">
        <v>439</v>
      </c>
      <c r="Y55" s="215">
        <f>VLOOKUP(C55,'Summary_by FY'!$C$1:$C$1010,1,FALSE)</f>
        <v>20962</v>
      </c>
    </row>
    <row r="56" spans="1:25" s="90" customFormat="1" x14ac:dyDescent="0.4">
      <c r="A56" s="93">
        <f t="shared" si="1"/>
        <v>53</v>
      </c>
      <c r="B56" s="91" t="s">
        <v>89</v>
      </c>
      <c r="C56" s="91">
        <v>20979</v>
      </c>
      <c r="D56" s="91"/>
      <c r="E56" s="91"/>
      <c r="F56" s="91" t="s">
        <v>15</v>
      </c>
      <c r="G56" s="92" t="str">
        <f>VLOOKUP(F56,lookup!B:C,2,FALSE)</f>
        <v>Engineering</v>
      </c>
      <c r="H56" s="91" t="s">
        <v>163</v>
      </c>
      <c r="I56" s="91" t="s">
        <v>410</v>
      </c>
      <c r="J56" s="91" t="s">
        <v>260</v>
      </c>
      <c r="K56" s="91" t="s">
        <v>149</v>
      </c>
      <c r="L56" s="104"/>
      <c r="M56" s="105">
        <v>0</v>
      </c>
      <c r="N56" s="105">
        <v>0</v>
      </c>
      <c r="O56" s="105">
        <v>0</v>
      </c>
      <c r="P56" s="105">
        <v>0</v>
      </c>
      <c r="Q56" s="104"/>
      <c r="R56" s="106">
        <v>0</v>
      </c>
      <c r="S56" s="112">
        <v>0</v>
      </c>
      <c r="T56" s="144">
        <v>0</v>
      </c>
      <c r="U56" s="144">
        <v>0</v>
      </c>
      <c r="V56" s="239">
        <f t="shared" si="0"/>
        <v>0</v>
      </c>
      <c r="W56" s="192" t="s">
        <v>216</v>
      </c>
      <c r="X56" s="91" t="s">
        <v>440</v>
      </c>
      <c r="Y56" s="215">
        <f>VLOOKUP(C56,'Summary_by FY'!$C$1:$C$1010,1,FALSE)</f>
        <v>20979</v>
      </c>
    </row>
    <row r="57" spans="1:25" s="90" customFormat="1" x14ac:dyDescent="0.4">
      <c r="A57" s="93">
        <f t="shared" si="1"/>
        <v>54</v>
      </c>
      <c r="B57" s="91" t="s">
        <v>89</v>
      </c>
      <c r="C57" s="178">
        <v>20982</v>
      </c>
      <c r="D57" s="91"/>
      <c r="E57" s="91" t="s">
        <v>414</v>
      </c>
      <c r="F57" s="91" t="s">
        <v>154</v>
      </c>
      <c r="G57" s="92" t="str">
        <f>VLOOKUP(F57,lookup!B:C,2,FALSE)</f>
        <v>Law</v>
      </c>
      <c r="H57" s="91" t="s">
        <v>274</v>
      </c>
      <c r="I57" s="91" t="s">
        <v>411</v>
      </c>
      <c r="J57" s="91" t="s">
        <v>378</v>
      </c>
      <c r="K57" s="91" t="s">
        <v>149</v>
      </c>
      <c r="L57" s="104">
        <v>270000</v>
      </c>
      <c r="M57" s="105">
        <v>18175</v>
      </c>
      <c r="N57" s="105">
        <v>0</v>
      </c>
      <c r="O57" s="105">
        <v>18175</v>
      </c>
      <c r="P57" s="105">
        <v>0</v>
      </c>
      <c r="Q57" s="104"/>
      <c r="R57" s="106">
        <v>0</v>
      </c>
      <c r="S57" s="112">
        <f>'20982'!H9</f>
        <v>18175</v>
      </c>
      <c r="T57" s="144">
        <v>0</v>
      </c>
      <c r="U57" s="144" t="s">
        <v>216</v>
      </c>
      <c r="V57" s="239" t="str">
        <f t="shared" si="0"/>
        <v>TBD</v>
      </c>
      <c r="W57" s="192">
        <v>0</v>
      </c>
      <c r="X57" s="91" t="s">
        <v>438</v>
      </c>
      <c r="Y57" s="215">
        <f>VLOOKUP(C57,'Summary_by FY'!$C$1:$C$1010,1,FALSE)</f>
        <v>20982</v>
      </c>
    </row>
    <row r="58" spans="1:25" ht="15" thickBot="1" x14ac:dyDescent="0.45">
      <c r="B58" s="82"/>
      <c r="C58" s="82"/>
      <c r="D58" s="83"/>
      <c r="E58" s="82"/>
      <c r="F58" s="82"/>
      <c r="G58" s="94"/>
      <c r="H58" s="82"/>
      <c r="I58" s="82"/>
      <c r="J58" s="82"/>
      <c r="K58" s="82"/>
      <c r="L58" s="107">
        <f>SUM(L4:L57)</f>
        <v>37472926.759999998</v>
      </c>
      <c r="M58" s="108">
        <f t="shared" ref="M58:W58" si="2">SUM(M4:M57)</f>
        <v>25895794.339999996</v>
      </c>
      <c r="N58" s="108">
        <f t="shared" si="2"/>
        <v>23828507.420000002</v>
      </c>
      <c r="O58" s="108">
        <f t="shared" si="2"/>
        <v>23877879.420000002</v>
      </c>
      <c r="P58" s="108">
        <f t="shared" si="2"/>
        <v>16025805.570000002</v>
      </c>
      <c r="Q58" s="107">
        <f t="shared" si="2"/>
        <v>92965.86</v>
      </c>
      <c r="R58" s="109">
        <f t="shared" si="2"/>
        <v>8797286.2599999998</v>
      </c>
      <c r="S58" s="113">
        <f t="shared" si="2"/>
        <v>11427472.939999999</v>
      </c>
      <c r="T58" s="145">
        <f t="shared" si="2"/>
        <v>1600000</v>
      </c>
      <c r="U58" s="145">
        <f t="shared" ref="U58:V58" si="3">SUM(U4:U57)</f>
        <v>2839500</v>
      </c>
      <c r="V58" s="241">
        <f t="shared" si="3"/>
        <v>4439500</v>
      </c>
      <c r="W58" s="193">
        <f t="shared" si="2"/>
        <v>8430000</v>
      </c>
      <c r="X58" s="82"/>
    </row>
    <row r="59" spans="1:25" x14ac:dyDescent="0.4">
      <c r="R59" s="110" t="b">
        <f>R58='JE LOG_FY23'!C21</f>
        <v>1</v>
      </c>
      <c r="S59" s="110" t="b">
        <f>S58='JE LOG_FY24'!C21</f>
        <v>1</v>
      </c>
    </row>
    <row r="60" spans="1:25" x14ac:dyDescent="0.4">
      <c r="I60" s="88" t="s">
        <v>212</v>
      </c>
      <c r="R60" s="110" t="b">
        <f>R58='Summary_for Web-2'!G60</f>
        <v>1</v>
      </c>
      <c r="S60" s="110" t="b">
        <f>S58='Summary_for Web-2'!H60</f>
        <v>1</v>
      </c>
      <c r="T60" s="110"/>
      <c r="U60" s="110"/>
      <c r="V60" s="110" t="b">
        <f>V58='Summary_for Web-2'!I60</f>
        <v>1</v>
      </c>
    </row>
    <row r="61" spans="1:25" x14ac:dyDescent="0.4">
      <c r="I61" s="219" t="s">
        <v>413</v>
      </c>
      <c r="L61" s="182" t="s">
        <v>446</v>
      </c>
      <c r="M61" s="135"/>
      <c r="N61" s="135"/>
      <c r="O61" s="135"/>
      <c r="P61" s="135"/>
      <c r="Q61" s="182">
        <f>Q58</f>
        <v>92965.86</v>
      </c>
    </row>
    <row r="62" spans="1:25" x14ac:dyDescent="0.4">
      <c r="A62" s="75"/>
      <c r="I62" s="219" t="s">
        <v>461</v>
      </c>
      <c r="L62" s="135"/>
      <c r="M62" s="135"/>
      <c r="N62" s="135"/>
      <c r="O62" s="135"/>
      <c r="P62" s="135"/>
    </row>
    <row r="63" spans="1:25" x14ac:dyDescent="0.4">
      <c r="I63" s="219" t="s">
        <v>462</v>
      </c>
      <c r="J63" s="95"/>
      <c r="M63" s="135"/>
      <c r="N63" s="135"/>
      <c r="O63" s="135"/>
      <c r="P63" s="135"/>
    </row>
    <row r="64" spans="1:25" x14ac:dyDescent="0.4">
      <c r="I64" s="219" t="s">
        <v>406</v>
      </c>
      <c r="J64" s="95"/>
      <c r="M64" s="135"/>
      <c r="N64" s="135"/>
      <c r="O64" s="135"/>
      <c r="P64" s="135"/>
    </row>
    <row r="65" spans="9:16" x14ac:dyDescent="0.4">
      <c r="J65" s="95"/>
      <c r="M65" s="135"/>
      <c r="N65" s="135"/>
      <c r="O65" s="135"/>
      <c r="P65" s="135"/>
    </row>
    <row r="66" spans="9:16" x14ac:dyDescent="0.4">
      <c r="L66" s="135"/>
      <c r="M66" s="135"/>
      <c r="N66" s="135"/>
      <c r="O66" s="135"/>
      <c r="P66" s="135"/>
    </row>
    <row r="67" spans="9:16" x14ac:dyDescent="0.4">
      <c r="M67" s="135"/>
      <c r="N67" s="135"/>
      <c r="O67" s="135"/>
      <c r="P67" s="135"/>
    </row>
    <row r="69" spans="9:16" x14ac:dyDescent="0.4">
      <c r="I69" s="88" t="s">
        <v>222</v>
      </c>
    </row>
    <row r="70" spans="9:16" x14ac:dyDescent="0.4">
      <c r="I70" s="219" t="s">
        <v>460</v>
      </c>
    </row>
    <row r="71" spans="9:16" x14ac:dyDescent="0.4">
      <c r="I71" s="219"/>
    </row>
    <row r="72" spans="9:16" x14ac:dyDescent="0.4">
      <c r="I72" s="219"/>
    </row>
    <row r="73" spans="9:16" x14ac:dyDescent="0.4">
      <c r="I73" s="219"/>
    </row>
    <row r="75" spans="9:16" x14ac:dyDescent="0.4">
      <c r="I75" s="146"/>
    </row>
    <row r="76" spans="9:16" x14ac:dyDescent="0.4">
      <c r="I76" s="146"/>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S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9" location="'20833'!A1" display="'20833'!A1" xr:uid="{D660A35B-E5FA-4306-B284-C599161FF1B9}"/>
    <hyperlink ref="C38" location="'20832'!A1" display="'20832'!A1" xr:uid="{558B6E4F-42AF-4C1D-A848-552C93D37A2B}"/>
    <hyperlink ref="C37" location="'20831'!A1" display="'20831'!A1" xr:uid="{B4100B18-B071-4D4E-B0B0-FC25FA5C0356}"/>
    <hyperlink ref="C41" location="'20857'!A1" display="'20857'!A1" xr:uid="{4F373CCB-5B9B-496C-80AB-3C3313143CC6}"/>
    <hyperlink ref="C44" location="'20911'!A1" display="'20911'!A1" xr:uid="{5A7847D4-8EB2-4850-AAFA-711670B2EB33}"/>
    <hyperlink ref="C45" location="'20912'!A1" display="'20912'!A1" xr:uid="{51B82CFE-DB43-4221-B61A-F79AB22CDF20}"/>
    <hyperlink ref="C46" location="'20913'!A1" display="'20913'!A1" xr:uid="{495AC23D-8D67-4BBC-9782-C5F54726F3F8}"/>
    <hyperlink ref="C43" location="'20885'!A1" display="'20885'!A1" xr:uid="{C23E2461-412D-46B9-8764-3533EF3FFF30}"/>
    <hyperlink ref="C32" location="'20767'!A1" display="'20767'!A1" xr:uid="{75388F17-E384-4428-8BFF-D4C156449535}"/>
    <hyperlink ref="C53" location="'20945'!A1" display="'20945'!A1" xr:uid="{CB0E891E-3E02-4299-95D4-124C099A482C}"/>
    <hyperlink ref="C51" location="'20936'!A1" display="'20936'!A1" xr:uid="{9C2BA3B2-64F9-4080-B767-E34AD0224F9B}"/>
    <hyperlink ref="C48" location="'20924'!A1" display="'20924'!A1" xr:uid="{4345F7B7-0073-4263-8BD0-B4D0390BEFB2}"/>
    <hyperlink ref="C36" location="'20811'!A1" display="'20811'!A1" xr:uid="{71BFB999-E30C-4639-A445-E958EE984BA3}"/>
    <hyperlink ref="C42" location="'20884'!A1" display="'20884'!A1" xr:uid="{84FFE6CA-FEF8-4412-ACD3-EB98AD761E47}"/>
    <hyperlink ref="C54" location="'20958'!A1" display="'20958'!A1" xr:uid="{7B8690CD-3C8D-4AA0-8DE4-3A8CD98E28D3}"/>
    <hyperlink ref="C47" location="'20922'!A1" display="'20922'!A1" xr:uid="{DACB93FE-E026-4492-95D4-62A4A7CDE4DF}"/>
    <hyperlink ref="C34" location="'20772'!A1" display="'20772'!A1" xr:uid="{E2146988-DDA0-4939-858D-0493332D8520}"/>
    <hyperlink ref="C57" location="'20982'!A1" display="'20982'!A1" xr:uid="{2C0D124B-7CDE-4C8A-B688-7DDE35A20234}"/>
    <hyperlink ref="V1" location="'JE LOG_FY25'!A1" display="'JE LOG_FY25'!A1" xr:uid="{27F88C9C-3592-4973-933C-DA84C39B9FC4}"/>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17"/>
  <sheetViews>
    <sheetView tabSelected="1" topLeftCell="A72" zoomScale="90" zoomScaleNormal="90" workbookViewId="0">
      <selection activeCell="L93" sqref="L93"/>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20.69140625" customWidth="1"/>
    <col min="7" max="7" width="13.84375" bestFit="1" customWidth="1"/>
    <col min="8" max="8" width="14.15234375" customWidth="1"/>
    <col min="9" max="10" width="12" style="21" customWidth="1" outlineLevel="1"/>
    <col min="11" max="12" width="14.15234375" customWidth="1"/>
    <col min="14" max="14" width="11.15234375" bestFit="1" customWidth="1"/>
    <col min="15" max="15" width="10.53515625" bestFit="1" customWidth="1"/>
  </cols>
  <sheetData>
    <row r="2" spans="1:12" x14ac:dyDescent="0.4">
      <c r="A2" s="267" t="s">
        <v>282</v>
      </c>
      <c r="B2" s="149"/>
      <c r="C2" s="149" t="s">
        <v>125</v>
      </c>
      <c r="D2" s="149" t="s">
        <v>114</v>
      </c>
      <c r="E2" s="149" t="s">
        <v>87</v>
      </c>
      <c r="F2" s="227" t="s">
        <v>128</v>
      </c>
      <c r="G2" s="227" t="s">
        <v>129</v>
      </c>
      <c r="H2" s="160" t="s">
        <v>286</v>
      </c>
      <c r="I2" s="150" t="s">
        <v>250</v>
      </c>
      <c r="J2" s="150" t="s">
        <v>284</v>
      </c>
      <c r="K2" s="166" t="s">
        <v>283</v>
      </c>
      <c r="L2" s="167" t="s">
        <v>251</v>
      </c>
    </row>
    <row r="3" spans="1:12" ht="14.7" customHeight="1" x14ac:dyDescent="0.4">
      <c r="A3" s="267"/>
      <c r="B3" s="96">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66">
        <v>9364499</v>
      </c>
      <c r="I3" s="21">
        <f>VLOOKUP(C3,'Project Status'!C:R,16,FALSE)</f>
        <v>17500</v>
      </c>
      <c r="K3" s="148">
        <f>SUM(I3:J3)</f>
        <v>17500</v>
      </c>
      <c r="L3" s="171"/>
    </row>
    <row r="4" spans="1:12" x14ac:dyDescent="0.4">
      <c r="A4" s="267"/>
      <c r="B4" s="96">
        <v>2</v>
      </c>
      <c r="C4">
        <v>10098</v>
      </c>
      <c r="D4" t="str">
        <f>VLOOKUP(C4,'Project Status'!C:H,6,FALSE)</f>
        <v>MRB III BIO/SCI</v>
      </c>
      <c r="E4" t="str">
        <f>VLOOKUP(C4,'Project Status'!C:I,7,FALSE)</f>
        <v>MRB III - 4th Floor - Replace Controls (Phase 2)</v>
      </c>
      <c r="F4" t="s">
        <v>232</v>
      </c>
      <c r="G4" t="str">
        <f>VLOOKUP(C4,'Project Status'!C:K,9,FALSE)</f>
        <v>Hans Mooy</v>
      </c>
      <c r="H4" s="266"/>
      <c r="I4" s="21">
        <f>VLOOKUP(C4,'Project Status'!C:R,16,FALSE)</f>
        <v>1216485.5</v>
      </c>
      <c r="K4" s="148">
        <f t="shared" ref="K4:K31" si="0">SUM(I4:J4)</f>
        <v>1216485.5</v>
      </c>
      <c r="L4" s="171"/>
    </row>
    <row r="5" spans="1:12" x14ac:dyDescent="0.4">
      <c r="A5" s="267"/>
      <c r="B5" s="96">
        <v>3</v>
      </c>
      <c r="C5">
        <v>10146</v>
      </c>
      <c r="D5" t="str">
        <f>VLOOKUP(C5,'Project Status'!C:H,6,FALSE)</f>
        <v>GODCHAUX HALL</v>
      </c>
      <c r="E5" t="str">
        <f>VLOOKUP(C5,'Project Status'!C:I,7,FALSE)</f>
        <v>Godchaux Hall - HVAC Upgrade - Phase 1</v>
      </c>
      <c r="F5" t="s">
        <v>100</v>
      </c>
      <c r="G5" t="str">
        <f>VLOOKUP(C5,'Project Status'!C:K,9,FALSE)</f>
        <v>Sean Rewers</v>
      </c>
      <c r="H5" s="266"/>
      <c r="I5" s="21">
        <f>VLOOKUP(C5,'Project Status'!C:R,16,FALSE)</f>
        <v>4900</v>
      </c>
      <c r="K5" s="148">
        <f t="shared" si="0"/>
        <v>4900</v>
      </c>
      <c r="L5" s="171"/>
    </row>
    <row r="6" spans="1:12" x14ac:dyDescent="0.4">
      <c r="A6" s="267"/>
      <c r="B6" s="96">
        <v>4</v>
      </c>
      <c r="C6">
        <v>20179</v>
      </c>
      <c r="D6" t="str">
        <f>VLOOKUP(C6,'Project Status'!C:H,6,FALSE)</f>
        <v>LAW SCHOOL</v>
      </c>
      <c r="E6" t="str">
        <f>VLOOKUP(C6,'Project Status'!C:I,7,FALSE)</f>
        <v>Law School - Fire Alarm System Replacement</v>
      </c>
      <c r="F6" t="s">
        <v>232</v>
      </c>
      <c r="G6" t="str">
        <f>VLOOKUP(C6,'Project Status'!C:K,9,FALSE)</f>
        <v>Bob Grummon</v>
      </c>
      <c r="H6" s="266"/>
      <c r="I6" s="21">
        <f>VLOOKUP(C6,'Project Status'!C:R,16,FALSE)</f>
        <v>722694.5</v>
      </c>
      <c r="K6" s="148">
        <f t="shared" si="0"/>
        <v>722694.5</v>
      </c>
      <c r="L6" s="171"/>
    </row>
    <row r="7" spans="1:12" x14ac:dyDescent="0.4">
      <c r="A7" s="267"/>
      <c r="B7" s="96">
        <v>5</v>
      </c>
      <c r="C7">
        <v>20336</v>
      </c>
      <c r="D7" t="str">
        <f>VLOOKUP(C7,'Project Status'!C:H,6,FALSE)</f>
        <v>BLAIR SCHOOL OF MUSIC</v>
      </c>
      <c r="E7" t="str">
        <f>VLOOKUP(C7,'Project Status'!C:I,7,FALSE)</f>
        <v>Blair School of Music - Elevator #3 Modernization</v>
      </c>
      <c r="F7" t="s">
        <v>101</v>
      </c>
      <c r="G7" t="str">
        <f>VLOOKUP(C7,'Project Status'!C:K,9,FALSE)</f>
        <v>Ben Bedock</v>
      </c>
      <c r="H7" s="266"/>
      <c r="I7" s="21">
        <f>VLOOKUP(C7,'Project Status'!C:R,16,FALSE)</f>
        <v>327890</v>
      </c>
      <c r="K7" s="148">
        <f t="shared" si="0"/>
        <v>327890</v>
      </c>
      <c r="L7" s="171"/>
    </row>
    <row r="8" spans="1:12" x14ac:dyDescent="0.4">
      <c r="A8" s="267"/>
      <c r="B8" s="96">
        <v>6</v>
      </c>
      <c r="C8">
        <v>20431</v>
      </c>
      <c r="D8" t="str">
        <f>VLOOKUP(C8,'Project Status'!C:H,6,FALSE)</f>
        <v>DIVINITY</v>
      </c>
      <c r="E8" t="str">
        <f>VLOOKUP(C8,'Project Status'!C:I,7,FALSE)</f>
        <v>Divinity Air Handling Unit Replacement, (5/6)- Phase 1</v>
      </c>
      <c r="F8" t="s">
        <v>101</v>
      </c>
      <c r="G8" t="str">
        <f>VLOOKUP(C8,'Project Status'!C:K,9,FALSE)</f>
        <v>Hans Mooy</v>
      </c>
      <c r="H8" s="266"/>
      <c r="I8" s="21">
        <f>VLOOKUP(C8,'Project Status'!C:R,16,FALSE)</f>
        <v>69862.5</v>
      </c>
      <c r="K8" s="148">
        <f t="shared" si="0"/>
        <v>69862.5</v>
      </c>
      <c r="L8" s="171"/>
    </row>
    <row r="9" spans="1:12" x14ac:dyDescent="0.4">
      <c r="A9" s="267"/>
      <c r="B9" s="96">
        <v>7</v>
      </c>
      <c r="C9">
        <v>20478</v>
      </c>
      <c r="D9" t="str">
        <f>VLOOKUP(C9,'Project Status'!C:H,6,FALSE)</f>
        <v>BRYAN BLDG</v>
      </c>
      <c r="E9" t="str">
        <f>VLOOKUP(C9,'Project Status'!C:I,7,FALSE)</f>
        <v>Bryan Building - Swing Space Renovation - A&amp;S Planning</v>
      </c>
      <c r="F9" t="s">
        <v>224</v>
      </c>
      <c r="G9" t="str">
        <f>VLOOKUP(C9,'Project Status'!C:K,9,FALSE)</f>
        <v>Cathy Bartlett</v>
      </c>
      <c r="H9" s="266"/>
      <c r="I9" s="21">
        <f>VLOOKUP(C9,'Project Status'!C:R,16,FALSE)</f>
        <v>81100</v>
      </c>
      <c r="K9" s="148">
        <f t="shared" si="0"/>
        <v>81100</v>
      </c>
      <c r="L9" s="171"/>
    </row>
    <row r="10" spans="1:12" x14ac:dyDescent="0.4">
      <c r="A10" s="267"/>
      <c r="B10" s="96">
        <v>8</v>
      </c>
      <c r="C10">
        <v>20489</v>
      </c>
      <c r="D10" t="str">
        <f>VLOOKUP(C10,'Project Status'!C:H,6,FALSE)</f>
        <v>DIVINITY</v>
      </c>
      <c r="E10" t="str">
        <f>VLOOKUP(C10,'Project Status'!C:I,7,FALSE)</f>
        <v>Divinity Air Handling Unit Replacement,(1/3) - Phase 2 with Benton - FY26</v>
      </c>
      <c r="F10" t="s">
        <v>100</v>
      </c>
      <c r="G10" t="str">
        <f>VLOOKUP(C10,'Project Status'!C:K,9,FALSE)</f>
        <v>Hans Mooy</v>
      </c>
      <c r="H10" s="266"/>
      <c r="I10" s="21">
        <f>VLOOKUP(C10,'Project Status'!C:R,16,FALSE)</f>
        <v>26500</v>
      </c>
      <c r="K10" s="148">
        <f t="shared" si="0"/>
        <v>26500</v>
      </c>
      <c r="L10" s="171"/>
    </row>
    <row r="11" spans="1:12" x14ac:dyDescent="0.4">
      <c r="A11" s="267"/>
      <c r="B11" s="96">
        <v>9</v>
      </c>
      <c r="C11">
        <v>20497</v>
      </c>
      <c r="D11" t="str">
        <f>VLOOKUP(C11,'Project Status'!C:H,6,FALSE)</f>
        <v>JESUP PSYCHOLOGY</v>
      </c>
      <c r="E11" t="str">
        <f>VLOOKUP(C11,'Project Status'!C:I,7,FALSE)</f>
        <v>Jesup - Roof Replacement</v>
      </c>
      <c r="F11" t="s">
        <v>101</v>
      </c>
      <c r="G11" t="str">
        <f>VLOOKUP(C11,'Project Status'!C:K,9,FALSE)</f>
        <v>Ben Bedock</v>
      </c>
      <c r="H11" s="266"/>
      <c r="I11" s="21">
        <f>VLOOKUP(C11,'Project Status'!C:R,16,FALSE)</f>
        <v>79415.5</v>
      </c>
      <c r="K11" s="148">
        <f t="shared" si="0"/>
        <v>79415.5</v>
      </c>
      <c r="L11" s="171"/>
    </row>
    <row r="12" spans="1:12" x14ac:dyDescent="0.4">
      <c r="A12" s="267"/>
      <c r="B12" s="96">
        <v>10</v>
      </c>
      <c r="C12">
        <v>20506</v>
      </c>
      <c r="D12" t="str">
        <f>VLOOKUP(C12,'Project Status'!C:H,6,FALSE)</f>
        <v>WYATT CENTER</v>
      </c>
      <c r="E12" t="str">
        <f>VLOOKUP(C12,'Project Status'!C:I,7,FALSE)</f>
        <v>Wyatt Center - Window Replacement</v>
      </c>
      <c r="F12" t="s">
        <v>101</v>
      </c>
      <c r="G12" t="str">
        <f>VLOOKUP(C12,'Project Status'!C:K,9,FALSE)</f>
        <v>Ben Bedock</v>
      </c>
      <c r="H12" s="266"/>
      <c r="I12" s="21">
        <f>VLOOKUP(C12,'Project Status'!C:R,16,FALSE)</f>
        <v>344155.26</v>
      </c>
      <c r="K12" s="148">
        <f t="shared" si="0"/>
        <v>344155.26</v>
      </c>
      <c r="L12" s="171"/>
    </row>
    <row r="13" spans="1:12" x14ac:dyDescent="0.4">
      <c r="A13" s="267"/>
      <c r="B13" s="96">
        <v>11</v>
      </c>
      <c r="C13">
        <v>20562</v>
      </c>
      <c r="D13" t="str">
        <f>VLOOKUP(C13,'Project Status'!C:H,6,FALSE)</f>
        <v>WYATT CENTER</v>
      </c>
      <c r="E13" t="str">
        <f>VLOOKUP(C13,'Project Status'!C:I,7,FALSE)</f>
        <v>Wyatt Center - VAV Replacement</v>
      </c>
      <c r="F13" t="s">
        <v>101</v>
      </c>
      <c r="G13" t="str">
        <f>VLOOKUP(C13,'Project Status'!C:K,9,FALSE)</f>
        <v>Sean Rewers</v>
      </c>
      <c r="H13" s="266"/>
      <c r="I13" s="21">
        <f>VLOOKUP(C13,'Project Status'!C:R,16,FALSE)</f>
        <v>405791</v>
      </c>
      <c r="K13" s="148">
        <f t="shared" si="0"/>
        <v>405791</v>
      </c>
      <c r="L13" s="171"/>
    </row>
    <row r="14" spans="1:12" x14ac:dyDescent="0.4">
      <c r="A14" s="267"/>
      <c r="B14" s="96">
        <v>12</v>
      </c>
      <c r="C14">
        <v>20566</v>
      </c>
      <c r="D14" t="str">
        <f>VLOOKUP(C14,'Project Status'!C:H,6,FALSE)</f>
        <v>SC CHEMISTRY</v>
      </c>
      <c r="E14" t="str">
        <f>VLOOKUP(C14,'Project Status'!C:I,7,FALSE)</f>
        <v>SC Chemistry (SC7) - Elevator 1 &amp; 2 Modernization</v>
      </c>
      <c r="F14" t="s">
        <v>101</v>
      </c>
      <c r="G14" t="str">
        <f>VLOOKUP(C14,'Project Status'!C:K,9,FALSE)</f>
        <v>Ben Bedock</v>
      </c>
      <c r="H14" s="266"/>
      <c r="I14" s="21">
        <f>VLOOKUP(C14,'Project Status'!C:R,16,FALSE)</f>
        <v>781870</v>
      </c>
      <c r="K14" s="148">
        <f t="shared" si="0"/>
        <v>781870</v>
      </c>
      <c r="L14" s="171"/>
    </row>
    <row r="15" spans="1:12" x14ac:dyDescent="0.4">
      <c r="A15" s="267"/>
      <c r="B15" s="96">
        <v>13</v>
      </c>
      <c r="C15">
        <v>20573</v>
      </c>
      <c r="D15" t="str">
        <f>VLOOKUP(C15,'Project Status'!C:H,6,FALSE)</f>
        <v>WYATT CENTER</v>
      </c>
      <c r="E15" t="str">
        <f>VLOOKUP(C15,'Project Status'!C:I,7,FALSE)</f>
        <v>Wyatt Center - Roof Replacement</v>
      </c>
      <c r="F15" t="s">
        <v>101</v>
      </c>
      <c r="G15" t="str">
        <f>VLOOKUP(C15,'Project Status'!C:K,9,FALSE)</f>
        <v>Ben Bedock</v>
      </c>
      <c r="H15" s="266"/>
      <c r="I15" s="21">
        <f>VLOOKUP(C15,'Project Status'!C:R,16,FALSE)</f>
        <v>1232681</v>
      </c>
      <c r="K15" s="148">
        <f t="shared" si="0"/>
        <v>1232681</v>
      </c>
      <c r="L15" s="171"/>
    </row>
    <row r="16" spans="1:12" x14ac:dyDescent="0.4">
      <c r="A16" s="267"/>
      <c r="B16" s="96">
        <v>14</v>
      </c>
      <c r="C16">
        <v>20574</v>
      </c>
      <c r="D16" t="str">
        <f>VLOOKUP(C16,'Project Status'!C:H,6,FALSE)</f>
        <v>MRB III BIO/SCI</v>
      </c>
      <c r="E16" t="str">
        <f>VLOOKUP(C16,'Project Status'!C:I,7,FALSE)</f>
        <v>MRB III - Steam Coil Replacement</v>
      </c>
      <c r="F16" t="s">
        <v>101</v>
      </c>
      <c r="G16" t="str">
        <f>VLOOKUP(C16,'Project Status'!C:K,9,FALSE)</f>
        <v>Sean Rewers</v>
      </c>
      <c r="H16" s="266"/>
      <c r="I16" s="21">
        <f>VLOOKUP(C16,'Project Status'!C:R,16,FALSE)</f>
        <v>218202</v>
      </c>
      <c r="K16" s="148">
        <f t="shared" si="0"/>
        <v>218202</v>
      </c>
      <c r="L16" s="171"/>
    </row>
    <row r="17" spans="1:12" x14ac:dyDescent="0.4">
      <c r="A17" s="267"/>
      <c r="B17" s="96">
        <v>15</v>
      </c>
      <c r="C17">
        <v>20577</v>
      </c>
      <c r="D17" t="str">
        <f>VLOOKUP(C17,'Project Status'!C:H,6,FALSE)</f>
        <v>BLAIR SCHOOL OF MUSIC</v>
      </c>
      <c r="E17" t="str">
        <f>VLOOKUP(C17,'Project Status'!C:I,7,FALSE)</f>
        <v>Blair School of Music - AHU - 1 Replacement -Phase 1 - FY25</v>
      </c>
      <c r="F17" t="s">
        <v>100</v>
      </c>
      <c r="G17" t="str">
        <f>VLOOKUP(C17,'Project Status'!C:K,9,FALSE)</f>
        <v>Hans Mooy</v>
      </c>
      <c r="H17" s="266"/>
      <c r="I17" s="21">
        <f>VLOOKUP(C17,'Project Status'!C:R,16,FALSE)</f>
        <v>223000</v>
      </c>
      <c r="K17" s="148">
        <f t="shared" si="0"/>
        <v>223000</v>
      </c>
      <c r="L17" s="171"/>
    </row>
    <row r="18" spans="1:12" x14ac:dyDescent="0.4">
      <c r="A18" s="267"/>
      <c r="B18" s="96">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66"/>
      <c r="I18" s="21">
        <f>VLOOKUP(C18,'Project Status'!C:R,16,FALSE)</f>
        <v>630554</v>
      </c>
      <c r="K18" s="148">
        <f t="shared" si="0"/>
        <v>630554</v>
      </c>
      <c r="L18" s="171"/>
    </row>
    <row r="19" spans="1:12" x14ac:dyDescent="0.4">
      <c r="A19" s="267"/>
      <c r="B19" s="96">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66"/>
      <c r="I19" s="21">
        <f>VLOOKUP(C19,'Project Status'!C:R,16,FALSE)</f>
        <v>125875</v>
      </c>
      <c r="K19" s="148">
        <f t="shared" si="0"/>
        <v>125875</v>
      </c>
      <c r="L19" s="171"/>
    </row>
    <row r="20" spans="1:12" x14ac:dyDescent="0.4">
      <c r="A20" s="267"/>
      <c r="B20" s="96">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66"/>
      <c r="I20" s="21">
        <f>VLOOKUP(C20,'Project Status'!C:R,16,FALSE)</f>
        <v>146500</v>
      </c>
      <c r="K20" s="148">
        <f t="shared" si="0"/>
        <v>146500</v>
      </c>
      <c r="L20" s="171"/>
    </row>
    <row r="21" spans="1:12" x14ac:dyDescent="0.4">
      <c r="A21" s="267"/>
      <c r="B21" s="96">
        <v>19</v>
      </c>
      <c r="C21">
        <v>20668</v>
      </c>
      <c r="D21" t="str">
        <f>VLOOKUP(C21,'Project Status'!C:H,6,FALSE)</f>
        <v>KECK FREE ELECTRON LASER CTR</v>
      </c>
      <c r="E21" t="str">
        <f>VLOOKUP(C21,'Project Status'!C:I,7,FALSE)</f>
        <v>Keck FEL - Mechanical Upgrades</v>
      </c>
      <c r="F21" t="s">
        <v>100</v>
      </c>
      <c r="G21" t="str">
        <f>VLOOKUP(C21,'Project Status'!C:K,9,FALSE)</f>
        <v>Sean Rewers</v>
      </c>
      <c r="H21" s="266"/>
      <c r="I21" s="21">
        <f>VLOOKUP(C21,'Project Status'!C:R,16,FALSE)</f>
        <v>206500</v>
      </c>
      <c r="K21" s="148">
        <f t="shared" si="0"/>
        <v>206500</v>
      </c>
      <c r="L21" s="171"/>
    </row>
    <row r="22" spans="1:12" x14ac:dyDescent="0.4">
      <c r="A22" s="267"/>
      <c r="B22" s="96">
        <v>20</v>
      </c>
      <c r="C22">
        <v>20698</v>
      </c>
      <c r="D22" t="str">
        <f>VLOOKUP(C22,'Project Status'!C:H,6,FALSE)</f>
        <v>WILSON HALL</v>
      </c>
      <c r="E22" t="str">
        <f>VLOOKUP(C22,'Project Status'!C:I,7,FALSE)</f>
        <v>Wilson Hall - Fire Alarm Replacement</v>
      </c>
      <c r="F22" t="s">
        <v>100</v>
      </c>
      <c r="G22" t="str">
        <f>VLOOKUP(C22,'Project Status'!C:K,9,FALSE)</f>
        <v>Sean Rewers</v>
      </c>
      <c r="H22" s="266"/>
      <c r="I22" s="21">
        <f>VLOOKUP(C22,'Project Status'!C:R,16,FALSE)</f>
        <v>29250</v>
      </c>
      <c r="K22" s="148">
        <f t="shared" si="0"/>
        <v>29250</v>
      </c>
      <c r="L22" s="171"/>
    </row>
    <row r="23" spans="1:12" x14ac:dyDescent="0.4">
      <c r="A23" s="267"/>
      <c r="B23" s="96">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66"/>
      <c r="I23" s="21">
        <f>VLOOKUP(C23,'Project Status'!C:R,16,FALSE)</f>
        <v>79623</v>
      </c>
      <c r="K23" s="148">
        <f t="shared" si="0"/>
        <v>79623</v>
      </c>
      <c r="L23" s="171"/>
    </row>
    <row r="24" spans="1:12" x14ac:dyDescent="0.4">
      <c r="A24" s="267"/>
      <c r="B24" s="96">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66"/>
      <c r="I24" s="21">
        <f>VLOOKUP(C24,'Project Status'!C:R,16,FALSE)</f>
        <v>499093</v>
      </c>
      <c r="K24" s="148">
        <f t="shared" si="0"/>
        <v>499093</v>
      </c>
      <c r="L24" s="171"/>
    </row>
    <row r="25" spans="1:12" x14ac:dyDescent="0.4">
      <c r="A25" s="267"/>
      <c r="B25" s="96">
        <v>23</v>
      </c>
      <c r="C25">
        <v>20702</v>
      </c>
      <c r="D25" t="str">
        <f>VLOOKUP(C25,'Project Status'!C:H,6,FALSE)</f>
        <v>WYATT CENTER</v>
      </c>
      <c r="E25" t="str">
        <f>VLOOKUP(C25,'Project Status'!C:I,7,FALSE)</f>
        <v>Wyatt Center - Elevator #2 Modernization</v>
      </c>
      <c r="F25" t="s">
        <v>101</v>
      </c>
      <c r="G25" t="str">
        <f>VLOOKUP(C25,'Project Status'!C:K,9,FALSE)</f>
        <v>Ben Bedock</v>
      </c>
      <c r="H25" s="266"/>
      <c r="I25" s="21">
        <f>VLOOKUP(C25,'Project Status'!C:R,16,FALSE)</f>
        <v>239341</v>
      </c>
      <c r="K25" s="148">
        <f t="shared" si="0"/>
        <v>239341</v>
      </c>
      <c r="L25" s="171"/>
    </row>
    <row r="26" spans="1:12" x14ac:dyDescent="0.4">
      <c r="A26" s="267"/>
      <c r="B26" s="96">
        <v>24</v>
      </c>
      <c r="C26">
        <v>20718</v>
      </c>
      <c r="D26" t="str">
        <f>VLOOKUP(C26,'Project Status'!C:H,6,FALSE)</f>
        <v>BUTTRICK HALL</v>
      </c>
      <c r="E26" t="str">
        <f>VLOOKUP(C26,'Project Status'!C:I,7,FALSE)</f>
        <v>Buttrick Hall - 3rd Floor Inequality Renovations</v>
      </c>
      <c r="F26" t="s">
        <v>101</v>
      </c>
      <c r="G26" t="str">
        <f>VLOOKUP(C26,'Project Status'!C:K,9,FALSE)</f>
        <v>Erin Fry</v>
      </c>
      <c r="H26" s="266"/>
      <c r="I26" s="21">
        <f>VLOOKUP(C26,'Project Status'!C:R,16,FALSE)</f>
        <v>96166</v>
      </c>
      <c r="K26" s="148">
        <f t="shared" si="0"/>
        <v>96166</v>
      </c>
      <c r="L26" s="171"/>
    </row>
    <row r="27" spans="1:12" x14ac:dyDescent="0.4">
      <c r="A27" s="267"/>
      <c r="B27" s="96">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66"/>
      <c r="I27" s="21">
        <f>VLOOKUP(C27,'Project Status'!C:R,16,FALSE)</f>
        <v>160500</v>
      </c>
      <c r="K27" s="148">
        <f t="shared" si="0"/>
        <v>160500</v>
      </c>
      <c r="L27" s="171"/>
    </row>
    <row r="28" spans="1:12" x14ac:dyDescent="0.4">
      <c r="A28" s="267"/>
      <c r="B28" s="96">
        <v>26</v>
      </c>
      <c r="C28">
        <v>20724</v>
      </c>
      <c r="D28" t="str">
        <f>VLOOKUP(C28,'Project Status'!C:H,6,FALSE)</f>
        <v>BLAIR SCHOOL OF MUSIC</v>
      </c>
      <c r="E28" t="str">
        <f>VLOOKUP(C28,'Project Status'!C:I,7,FALSE)</f>
        <v>Blair School of Music - Steam Line - FY 23</v>
      </c>
      <c r="F28" t="s">
        <v>100</v>
      </c>
      <c r="G28" t="str">
        <f>VLOOKUP(C28,'Project Status'!C:K,9,FALSE)</f>
        <v>Hans Mooy</v>
      </c>
      <c r="H28" s="266"/>
      <c r="I28" s="21">
        <f>VLOOKUP(C28,'Project Status'!C:R,16,FALSE)</f>
        <v>23400</v>
      </c>
      <c r="K28" s="148">
        <f t="shared" si="0"/>
        <v>23400</v>
      </c>
      <c r="L28" s="171"/>
    </row>
    <row r="29" spans="1:12" x14ac:dyDescent="0.4">
      <c r="A29" s="267"/>
      <c r="B29" s="96">
        <v>27</v>
      </c>
      <c r="C29">
        <v>20735</v>
      </c>
      <c r="D29" t="str">
        <f>VLOOKUP(C29,'Project Status'!C:H,6,FALSE)</f>
        <v>OWEN GRAD MGMT</v>
      </c>
      <c r="E29" t="str">
        <f>VLOOKUP(C29,'Project Status'!C:I,7,FALSE)</f>
        <v>Owen - Roof Replacement (Third Level)</v>
      </c>
      <c r="F29" t="s">
        <v>101</v>
      </c>
      <c r="G29" t="str">
        <f>VLOOKUP(C29,'Project Status'!C:K,9,FALSE)</f>
        <v>Ben Bedock</v>
      </c>
      <c r="H29" s="266"/>
      <c r="I29" s="21">
        <f>VLOOKUP(C29,'Project Status'!C:R,16,FALSE)</f>
        <v>300000</v>
      </c>
      <c r="K29" s="148">
        <f t="shared" si="0"/>
        <v>300000</v>
      </c>
      <c r="L29" s="171"/>
    </row>
    <row r="30" spans="1:12" x14ac:dyDescent="0.4">
      <c r="A30" s="267"/>
      <c r="B30" s="96">
        <v>28</v>
      </c>
      <c r="C30">
        <v>20771</v>
      </c>
      <c r="D30" t="str">
        <f>VLOOKUP(C30,'Project Status'!C:H,6,FALSE)</f>
        <v>SC CHEMISTRY</v>
      </c>
      <c r="E30" t="str">
        <f>VLOOKUP(C30,'Project Status'!C:I,7,FALSE)</f>
        <v>SC4 - Interstitial Space HVAC Modifications</v>
      </c>
      <c r="F30" t="s">
        <v>101</v>
      </c>
      <c r="G30" t="str">
        <f>VLOOKUP(C30,'Project Status'!C:K,9,FALSE)</f>
        <v>Sean Rewers</v>
      </c>
      <c r="H30" s="266"/>
      <c r="I30" s="21">
        <f>VLOOKUP(C30,'Project Status'!C:R,16,FALSE)</f>
        <v>24997</v>
      </c>
      <c r="K30" s="148">
        <f t="shared" si="0"/>
        <v>24997</v>
      </c>
      <c r="L30" s="171"/>
    </row>
    <row r="31" spans="1:12" x14ac:dyDescent="0.4">
      <c r="A31" s="267"/>
      <c r="B31" s="96">
        <v>29</v>
      </c>
      <c r="C31">
        <v>20792</v>
      </c>
      <c r="D31" t="str">
        <f>VLOOKUP(C31,'Project Status'!C:H,6,FALSE)</f>
        <v>LAW SCHOOL</v>
      </c>
      <c r="E31" t="str">
        <f>VLOOKUP(C31,'Project Status'!C:I,7,FALSE)</f>
        <v>Law School - Sections 1, 2, &amp; 3  Roof Replacement</v>
      </c>
      <c r="F31" t="s">
        <v>178</v>
      </c>
      <c r="G31" t="str">
        <f>VLOOKUP(C31,'Project Status'!C:K,9,FALSE)</f>
        <v>Ben Bedock</v>
      </c>
      <c r="H31" s="266"/>
      <c r="I31" s="21">
        <f>VLOOKUP(C31,'Project Status'!C:R,16,FALSE)</f>
        <v>483440</v>
      </c>
      <c r="K31" s="148">
        <f t="shared" si="0"/>
        <v>483440</v>
      </c>
      <c r="L31" s="171"/>
    </row>
    <row r="32" spans="1:12" x14ac:dyDescent="0.4">
      <c r="H32" s="266"/>
      <c r="I32" s="151">
        <f t="shared" ref="I32:J32" si="1">SUM(I3:I31)</f>
        <v>8797286.2599999998</v>
      </c>
      <c r="J32" s="151">
        <f t="shared" si="1"/>
        <v>0</v>
      </c>
      <c r="K32" s="151">
        <f>SUM(K3:K31)</f>
        <v>8797286.2599999998</v>
      </c>
      <c r="L32" s="151">
        <f>H3-K32</f>
        <v>567212.74000000022</v>
      </c>
    </row>
    <row r="33" spans="1:14" x14ac:dyDescent="0.4">
      <c r="I33" s="231" t="b">
        <f>I32='Project Status'!R58</f>
        <v>1</v>
      </c>
    </row>
    <row r="34" spans="1:14" x14ac:dyDescent="0.4">
      <c r="A34" s="268" t="s">
        <v>285</v>
      </c>
      <c r="B34" s="152"/>
      <c r="C34" s="152" t="s">
        <v>125</v>
      </c>
      <c r="D34" s="152" t="s">
        <v>114</v>
      </c>
      <c r="E34" s="152" t="s">
        <v>87</v>
      </c>
      <c r="F34" s="228" t="s">
        <v>128</v>
      </c>
      <c r="G34" s="228" t="s">
        <v>129</v>
      </c>
      <c r="H34" s="161" t="s">
        <v>286</v>
      </c>
      <c r="I34" s="153" t="s">
        <v>250</v>
      </c>
      <c r="J34" s="153" t="s">
        <v>284</v>
      </c>
      <c r="K34" s="165" t="s">
        <v>283</v>
      </c>
      <c r="L34" s="164" t="s">
        <v>251</v>
      </c>
    </row>
    <row r="35" spans="1:14" ht="14.7" customHeight="1" x14ac:dyDescent="0.4">
      <c r="A35" s="268"/>
      <c r="B35" s="96">
        <v>1</v>
      </c>
      <c r="C35">
        <v>10146</v>
      </c>
      <c r="D35" t="str">
        <f>VLOOKUP(C35,'Project Status'!C:H,6,FALSE)</f>
        <v>GODCHAUX HALL</v>
      </c>
      <c r="E35" s="3" t="str">
        <f>VLOOKUP(C35,'Project Status'!C:I,7,FALSE)</f>
        <v>Godchaux Hall - HVAC Upgrade - Phase 1</v>
      </c>
      <c r="F35" s="3" t="str">
        <f>VLOOKUP(C35,'Project Status'!C:J,8,FALSE)</f>
        <v>Construction</v>
      </c>
      <c r="G35" s="3" t="str">
        <f>VLOOKUP(C35,'Project Status'!C:K,9,FALSE)</f>
        <v>Sean Rewers</v>
      </c>
      <c r="H35" s="270">
        <f>Contributions!G14</f>
        <v>11029283.289999999</v>
      </c>
      <c r="I35" s="212">
        <f>VLOOKUP(C35,'Project Status'!C:S,17,FALSE)</f>
        <v>255957</v>
      </c>
      <c r="J35" s="189"/>
      <c r="K35" s="156">
        <f>IF(J35="TBD",J35,SUM(I35:J35))</f>
        <v>255957</v>
      </c>
      <c r="L35" s="170"/>
      <c r="M35" s="20" t="s">
        <v>347</v>
      </c>
    </row>
    <row r="36" spans="1:14" x14ac:dyDescent="0.4">
      <c r="A36" s="268"/>
      <c r="B36" s="96">
        <v>2</v>
      </c>
      <c r="C36">
        <v>20431</v>
      </c>
      <c r="D36" t="str">
        <f>VLOOKUP(C36,'Project Status'!C:H,6,FALSE)</f>
        <v>DIVINITY</v>
      </c>
      <c r="E36" s="3" t="str">
        <f>VLOOKUP(C36,'Project Status'!C:I,7,FALSE)</f>
        <v>Divinity Air Handling Unit Replacement, (5/6)- Phase 1</v>
      </c>
      <c r="F36" s="3" t="str">
        <f>VLOOKUP(C36,'Project Status'!C:J,8,FALSE)</f>
        <v>Construction</v>
      </c>
      <c r="G36" s="3" t="str">
        <f>VLOOKUP(C36,'Project Status'!C:K,9,FALSE)</f>
        <v>Hans Mooy</v>
      </c>
      <c r="H36" s="270"/>
      <c r="I36" s="212">
        <f>VLOOKUP(C36,'Project Status'!C:S,17,FALSE)</f>
        <v>3660360</v>
      </c>
      <c r="J36" s="189"/>
      <c r="K36" s="156">
        <f t="shared" ref="K36:K56" si="2">IF(J36="TBD",J36,SUM(I36:J36))</f>
        <v>3660360</v>
      </c>
      <c r="L36" s="170"/>
    </row>
    <row r="37" spans="1:14" x14ac:dyDescent="0.4">
      <c r="A37" s="268"/>
      <c r="B37" s="96">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70"/>
      <c r="I37" s="212">
        <f>VLOOKUP(C37,'Project Status'!C:S,17,FALSE)</f>
        <v>1028900</v>
      </c>
      <c r="J37" s="189"/>
      <c r="K37" s="156">
        <f t="shared" si="2"/>
        <v>1028900</v>
      </c>
      <c r="L37" s="170"/>
    </row>
    <row r="38" spans="1:14" x14ac:dyDescent="0.4">
      <c r="A38" s="268"/>
      <c r="B38" s="96">
        <v>4</v>
      </c>
      <c r="C38">
        <v>20668</v>
      </c>
      <c r="D38" t="str">
        <f>VLOOKUP(C38,'Project Status'!C:H,6,FALSE)</f>
        <v>KECK FREE ELECTRON LASER CTR</v>
      </c>
      <c r="E38" s="3" t="str">
        <f>VLOOKUP(C38,'Project Status'!C:I,7,FALSE)</f>
        <v>Keck FEL - Mechanical Upgrades</v>
      </c>
      <c r="F38" s="3" t="str">
        <f>VLOOKUP(C38,'Project Status'!C:J,8,FALSE)</f>
        <v>Design</v>
      </c>
      <c r="G38" s="3" t="str">
        <f>VLOOKUP(C38,'Project Status'!C:K,9,FALSE)</f>
        <v>Sean Rewers</v>
      </c>
      <c r="H38" s="270"/>
      <c r="I38" s="212">
        <f>VLOOKUP(C38,'Project Status'!C:S,17,FALSE)</f>
        <v>24933</v>
      </c>
      <c r="J38" s="189"/>
      <c r="K38" s="156">
        <f t="shared" si="2"/>
        <v>24933</v>
      </c>
      <c r="L38" s="170"/>
    </row>
    <row r="39" spans="1:14" x14ac:dyDescent="0.4">
      <c r="A39" s="268"/>
      <c r="B39" s="96">
        <v>5</v>
      </c>
      <c r="C39">
        <v>20698</v>
      </c>
      <c r="D39" t="str">
        <f>VLOOKUP(C39,'Project Status'!C:H,6,FALSE)</f>
        <v>WILSON HALL</v>
      </c>
      <c r="E39" s="3" t="str">
        <f>VLOOKUP(C39,'Project Status'!C:I,7,FALSE)</f>
        <v>Wilson Hall - Fire Alarm Replacement</v>
      </c>
      <c r="F39" s="3" t="str">
        <f>VLOOKUP(C39,'Project Status'!C:J,8,FALSE)</f>
        <v>Construction</v>
      </c>
      <c r="G39" s="3" t="str">
        <f>VLOOKUP(C39,'Project Status'!C:K,9,FALSE)</f>
        <v>Sean Rewers</v>
      </c>
      <c r="H39" s="270"/>
      <c r="I39" s="212">
        <f>VLOOKUP(C39,'Project Status'!C:S,17,FALSE)</f>
        <v>649263</v>
      </c>
      <c r="J39" s="189"/>
      <c r="K39" s="156">
        <f t="shared" si="2"/>
        <v>649263</v>
      </c>
      <c r="L39" s="170"/>
    </row>
    <row r="40" spans="1:14" x14ac:dyDescent="0.4">
      <c r="A40" s="268"/>
      <c r="B40" s="96">
        <v>6</v>
      </c>
      <c r="C40">
        <v>20700</v>
      </c>
      <c r="D40" t="str">
        <f>VLOOKUP(C40,'Project Status'!C:H,6,FALSE)</f>
        <v>SC CHEMISTRY</v>
      </c>
      <c r="E40" s="3" t="str">
        <f>VLOOKUP(C40,'Project Status'!C:I,7,FALSE)</f>
        <v>SC-7 Chemistry - SG-1 Removal and Connection to Central Plant Steam</v>
      </c>
      <c r="F40" s="3" t="str">
        <f>VLOOKUP(C40,'Project Status'!C:J,8,FALSE)</f>
        <v>Finalized</v>
      </c>
      <c r="G40" s="3" t="str">
        <f>VLOOKUP(C40,'Project Status'!C:K,9,FALSE)</f>
        <v>Sean Rewers</v>
      </c>
      <c r="H40" s="270"/>
      <c r="I40" s="212">
        <f>VLOOKUP(C40,'Project Status'!C:S,17,FALSE)</f>
        <v>5954</v>
      </c>
      <c r="J40" s="189"/>
      <c r="K40" s="156">
        <f t="shared" si="2"/>
        <v>5954</v>
      </c>
      <c r="L40" s="170"/>
    </row>
    <row r="41" spans="1:14" x14ac:dyDescent="0.4">
      <c r="A41" s="268"/>
      <c r="B41" s="96">
        <v>7</v>
      </c>
      <c r="C41">
        <v>20724</v>
      </c>
      <c r="D41" t="str">
        <f>VLOOKUP(C41,'Project Status'!C:H,6,FALSE)</f>
        <v>BLAIR SCHOOL OF MUSIC</v>
      </c>
      <c r="E41" s="3" t="str">
        <f>VLOOKUP(C41,'Project Status'!C:I,7,FALSE)</f>
        <v>Blair School of Music - Steam Line - FY 23</v>
      </c>
      <c r="F41" s="3" t="str">
        <f>VLOOKUP(C41,'Project Status'!C:J,8,FALSE)</f>
        <v>Construction</v>
      </c>
      <c r="G41" s="3" t="str">
        <f>VLOOKUP(C41,'Project Status'!C:K,9,FALSE)</f>
        <v>Hans Mooy</v>
      </c>
      <c r="H41" s="270"/>
      <c r="I41" s="212">
        <f>VLOOKUP(C41,'Project Status'!C:S,17,FALSE)</f>
        <v>1964100</v>
      </c>
      <c r="J41" s="189"/>
      <c r="K41" s="156">
        <f t="shared" si="2"/>
        <v>1964100</v>
      </c>
      <c r="L41" s="170"/>
      <c r="N41" s="148"/>
    </row>
    <row r="42" spans="1:14" x14ac:dyDescent="0.4">
      <c r="A42" s="268"/>
      <c r="B42" s="96">
        <v>8</v>
      </c>
      <c r="C42">
        <v>20767</v>
      </c>
      <c r="D42" t="str">
        <f>VLOOKUP(C42,'Project Status'!C:H,6,FALSE)</f>
        <v>SIX MAGNOLIA CIRCLE</v>
      </c>
      <c r="E42" s="3" t="str">
        <f>VLOOKUP(C42,'Project Status'!C:I,7,FALSE)</f>
        <v>Six Magnolia Circle - Foundation Repairs</v>
      </c>
      <c r="F42" s="3" t="str">
        <f>VLOOKUP(C42,'Project Status'!C:J,8,FALSE)</f>
        <v>Construction</v>
      </c>
      <c r="G42" s="3" t="str">
        <f>VLOOKUP(C42,'Project Status'!C:K,9,FALSE)</f>
        <v>Jay Surprenant</v>
      </c>
      <c r="H42" s="270"/>
      <c r="I42" s="212">
        <f>VLOOKUP(C42,'Project Status'!C:S,17,FALSE)</f>
        <v>148299</v>
      </c>
      <c r="J42" s="189"/>
      <c r="K42" s="156">
        <f t="shared" si="2"/>
        <v>148299</v>
      </c>
      <c r="L42" s="170"/>
    </row>
    <row r="43" spans="1:14" x14ac:dyDescent="0.4">
      <c r="A43" s="268"/>
      <c r="B43" s="96">
        <v>9</v>
      </c>
      <c r="C43">
        <v>20772</v>
      </c>
      <c r="D43" t="str">
        <f>VLOOKUP(C43,'Project Status'!C:H,6,FALSE)</f>
        <v>OWEN GRAD MGMT</v>
      </c>
      <c r="E43" s="3" t="str">
        <f>VLOOKUP(C43,'Project Status'!C:I,7,FALSE)</f>
        <v>OGSM Old Mechanical- Slate Roof &amp; Window Replacement</v>
      </c>
      <c r="F43" s="3" t="str">
        <f>VLOOKUP(C43,'Project Status'!C:J,8,FALSE)</f>
        <v>Construction</v>
      </c>
      <c r="G43" s="3" t="str">
        <f>VLOOKUP(C43,'Project Status'!C:K,9,FALSE)</f>
        <v>Ben Bedock</v>
      </c>
      <c r="H43" s="270"/>
      <c r="I43" s="212">
        <f>VLOOKUP(C43,'Project Status'!C:S,17,FALSE)</f>
        <v>1600000</v>
      </c>
      <c r="J43" s="189"/>
      <c r="K43" s="156">
        <f t="shared" ref="K43" si="3">IF(J43="TBD",J43,SUM(I43:J43))</f>
        <v>1600000</v>
      </c>
      <c r="L43" s="170"/>
    </row>
    <row r="44" spans="1:14" x14ac:dyDescent="0.4">
      <c r="A44" s="268"/>
      <c r="B44" s="96">
        <v>10</v>
      </c>
      <c r="C44">
        <v>20811</v>
      </c>
      <c r="D44" t="str">
        <f>VLOOKUP(C44,'Project Status'!C:H,6,FALSE)</f>
        <v>ONE MAGNOLIA CIRCLE</v>
      </c>
      <c r="E44" s="3" t="str">
        <f>VLOOKUP(C44,'Project Status'!C:I,7,FALSE)</f>
        <v>One Magnolia Circle - Retaining Wall Repair</v>
      </c>
      <c r="F44" s="3" t="str">
        <f>VLOOKUP(C44,'Project Status'!C:J,8,FALSE)</f>
        <v>Construction</v>
      </c>
      <c r="G44" s="3" t="str">
        <f>VLOOKUP(C44,'Project Status'!C:K,9,FALSE)</f>
        <v>Ben Bedock</v>
      </c>
      <c r="H44" s="270"/>
      <c r="I44" s="212">
        <f>VLOOKUP(C44,'Project Status'!C:S,17,FALSE)</f>
        <v>285233.27</v>
      </c>
      <c r="J44" s="189"/>
      <c r="K44" s="156">
        <f t="shared" si="2"/>
        <v>285233.27</v>
      </c>
      <c r="L44" s="170"/>
    </row>
    <row r="45" spans="1:14" x14ac:dyDescent="0.4">
      <c r="A45" s="268"/>
      <c r="B45" s="96">
        <v>11</v>
      </c>
      <c r="C45">
        <v>20831</v>
      </c>
      <c r="D45" t="str">
        <f>VLOOKUP(C45,'Project Status'!C:H,6,FALSE)</f>
        <v>SC PHYSICS &amp; ASTRONOMY</v>
      </c>
      <c r="E45" s="3" t="str">
        <f>VLOOKUP(C45,'Project Status'!C:I,7,FALSE)</f>
        <v>SC6 - HVAC Upgrades - Feasibility Study</v>
      </c>
      <c r="F45" s="3" t="str">
        <f>VLOOKUP(C45,'Project Status'!C:J,8,FALSE)</f>
        <v>Finalized</v>
      </c>
      <c r="G45" s="3" t="str">
        <f>VLOOKUP(C45,'Project Status'!C:K,9,FALSE)</f>
        <v>Sean Rewers</v>
      </c>
      <c r="H45" s="270"/>
      <c r="I45" s="212">
        <f>VLOOKUP(C45,'Project Status'!C:S,17,FALSE)</f>
        <v>24000</v>
      </c>
      <c r="J45" s="189"/>
      <c r="K45" s="156">
        <f t="shared" si="2"/>
        <v>24000</v>
      </c>
      <c r="L45" s="170"/>
    </row>
    <row r="46" spans="1:14" x14ac:dyDescent="0.4">
      <c r="A46" s="268"/>
      <c r="B46" s="96">
        <v>12</v>
      </c>
      <c r="C46">
        <v>20832</v>
      </c>
      <c r="D46" t="str">
        <f>VLOOKUP(C46,'Project Status'!C:H,6,FALSE)</f>
        <v>WILSON HALL</v>
      </c>
      <c r="E46" s="3" t="str">
        <f>VLOOKUP(C46,'Project Status'!C:I,7,FALSE)</f>
        <v>Wilson Hall - HVAC Replacement</v>
      </c>
      <c r="F46" s="3" t="str">
        <f>VLOOKUP(C46,'Project Status'!C:J,8,FALSE)</f>
        <v>Finalized</v>
      </c>
      <c r="G46" s="3" t="str">
        <f>VLOOKUP(C46,'Project Status'!C:K,9,FALSE)</f>
        <v>Sean Rewers</v>
      </c>
      <c r="H46" s="270"/>
      <c r="I46" s="212">
        <f>VLOOKUP(C46,'Project Status'!C:S,17,FALSE)</f>
        <v>24000</v>
      </c>
      <c r="J46" s="189"/>
      <c r="K46" s="156">
        <f t="shared" si="2"/>
        <v>24000</v>
      </c>
      <c r="L46" s="170"/>
    </row>
    <row r="47" spans="1:14" x14ac:dyDescent="0.4">
      <c r="A47" s="268"/>
      <c r="B47" s="96">
        <v>13</v>
      </c>
      <c r="C47">
        <v>20833</v>
      </c>
      <c r="D47" t="str">
        <f>VLOOKUP(C47,'Project Status'!C:H,6,FALSE)</f>
        <v>SC SCIENCE &amp; ENGINEERING</v>
      </c>
      <c r="E47" s="3" t="str">
        <f>VLOOKUP(C47,'Project Status'!C:I,7,FALSE)</f>
        <v>SC5 - HVAC Replacement</v>
      </c>
      <c r="F47" s="3" t="str">
        <f>VLOOKUP(C47,'Project Status'!C:J,8,FALSE)</f>
        <v>Financial Closeout</v>
      </c>
      <c r="G47" s="3" t="str">
        <f>VLOOKUP(C47,'Project Status'!C:K,9,FALSE)</f>
        <v>Sean Rewers</v>
      </c>
      <c r="H47" s="270"/>
      <c r="I47" s="212">
        <f>VLOOKUP(C47,'Project Status'!C:S,17,FALSE)</f>
        <v>24000</v>
      </c>
      <c r="J47" s="189"/>
      <c r="K47" s="156">
        <f t="shared" si="2"/>
        <v>24000</v>
      </c>
      <c r="L47" s="170"/>
    </row>
    <row r="48" spans="1:14" x14ac:dyDescent="0.4">
      <c r="A48" s="268"/>
      <c r="B48" s="96">
        <v>14</v>
      </c>
      <c r="C48">
        <v>20857</v>
      </c>
      <c r="D48" t="str">
        <f>VLOOKUP(C48,'Project Status'!C:H,6,FALSE)</f>
        <v>ONE MAGNOLIA CIRCLE</v>
      </c>
      <c r="E48" s="3" t="str">
        <f>VLOOKUP(C48,'Project Status'!C:I,7,FALSE)</f>
        <v>One Magnolia Circle - Elevator Modernization</v>
      </c>
      <c r="F48" s="3" t="str">
        <f>VLOOKUP(C48,'Project Status'!C:J,8,FALSE)</f>
        <v>Construction</v>
      </c>
      <c r="G48" s="3" t="str">
        <f>VLOOKUP(C48,'Project Status'!C:K,9,FALSE)</f>
        <v>Ben Bedock</v>
      </c>
      <c r="H48" s="270"/>
      <c r="I48" s="212">
        <f>VLOOKUP(C48,'Project Status'!C:S,17,FALSE)</f>
        <v>499184</v>
      </c>
      <c r="J48" s="189"/>
      <c r="K48" s="156">
        <f t="shared" ref="K48" si="4">IF(J48="TBD",J48,SUM(I48:J48))</f>
        <v>499184</v>
      </c>
      <c r="L48" s="170"/>
    </row>
    <row r="49" spans="1:14" x14ac:dyDescent="0.4">
      <c r="A49" s="268"/>
      <c r="B49" s="96">
        <v>15</v>
      </c>
      <c r="C49" s="213">
        <v>20884</v>
      </c>
      <c r="D49" t="str">
        <f>VLOOKUP(C49,'Project Status'!C:H,6,FALSE)</f>
        <v>LAW SCHOOL</v>
      </c>
      <c r="E49" s="3" t="str">
        <f>VLOOKUP(C49,'Project Status'!C:I,7,FALSE)</f>
        <v>Law School - Exterior Window Painting</v>
      </c>
      <c r="F49" s="3" t="str">
        <f>VLOOKUP(C49,'Project Status'!C:J,8,FALSE)</f>
        <v>Construction</v>
      </c>
      <c r="G49" s="3" t="str">
        <f>VLOOKUP(C49,'Project Status'!C:K,9,FALSE)</f>
        <v>Ben Bedock</v>
      </c>
      <c r="H49" s="270"/>
      <c r="I49" s="212">
        <f>VLOOKUP(C49,'Project Status'!C:S,17,FALSE)</f>
        <v>675650</v>
      </c>
      <c r="J49" s="189"/>
      <c r="K49" s="156">
        <f t="shared" si="2"/>
        <v>675650</v>
      </c>
      <c r="L49" s="170"/>
    </row>
    <row r="50" spans="1:14" x14ac:dyDescent="0.4">
      <c r="A50" s="268"/>
      <c r="B50" s="96">
        <v>16</v>
      </c>
      <c r="C50">
        <v>20885</v>
      </c>
      <c r="D50" t="str">
        <f>VLOOKUP(C50,'Project Status'!C:H,6,FALSE)</f>
        <v>BIOMOLECULAR NMR</v>
      </c>
      <c r="E50" s="3" t="str">
        <f>VLOOKUP(C50,'Project Status'!C:I,7,FALSE)</f>
        <v>NMR - Replace Air Compressors</v>
      </c>
      <c r="F50" s="3" t="str">
        <f>VLOOKUP(C50,'Project Status'!C:J,8,FALSE)</f>
        <v>Award</v>
      </c>
      <c r="G50" s="3" t="str">
        <f>VLOOKUP(C50,'Project Status'!C:K,9,FALSE)</f>
        <v>Sean Rewers</v>
      </c>
      <c r="H50" s="270"/>
      <c r="I50" s="212">
        <f>VLOOKUP(C50,'Project Status'!C:S,17,FALSE)</f>
        <v>113053.4</v>
      </c>
      <c r="J50" s="189"/>
      <c r="K50" s="156">
        <f t="shared" si="2"/>
        <v>113053.4</v>
      </c>
      <c r="L50" s="170"/>
    </row>
    <row r="51" spans="1:14" x14ac:dyDescent="0.4">
      <c r="A51" s="268"/>
      <c r="B51" s="96">
        <v>17</v>
      </c>
      <c r="C51">
        <v>20911</v>
      </c>
      <c r="D51" t="str">
        <f>VLOOKUP(C51,'Project Status'!C:H,6,FALSE)</f>
        <v>BUTTRICK HALL</v>
      </c>
      <c r="E51" s="3" t="str">
        <f>VLOOKUP(C51,'Project Status'!C:I,7,FALSE)</f>
        <v>Buttrick Hall - Elevator Upgrades</v>
      </c>
      <c r="F51" s="3" t="str">
        <f>VLOOKUP(C51,'Project Status'!C:J,8,FALSE)</f>
        <v>Construction</v>
      </c>
      <c r="G51" s="3" t="str">
        <f>VLOOKUP(C51,'Project Status'!C:K,9,FALSE)</f>
        <v>Ben Bedock</v>
      </c>
      <c r="H51" s="270"/>
      <c r="I51" s="212">
        <f>VLOOKUP(C51,'Project Status'!C:S,17,FALSE)</f>
        <v>61045</v>
      </c>
      <c r="J51" s="189"/>
      <c r="K51" s="156">
        <f t="shared" si="2"/>
        <v>61045</v>
      </c>
      <c r="L51" s="170"/>
    </row>
    <row r="52" spans="1:14" ht="15" customHeight="1" x14ac:dyDescent="0.4">
      <c r="A52" s="268"/>
      <c r="B52" s="96">
        <v>18</v>
      </c>
      <c r="C52">
        <v>20912</v>
      </c>
      <c r="D52" t="str">
        <f>VLOOKUP(C52,'Project Status'!C:H,6,FALSE)</f>
        <v>BENSON OLD CENTRAL</v>
      </c>
      <c r="E52" s="3" t="str">
        <f>VLOOKUP(C52,'Project Status'!C:I,7,FALSE)</f>
        <v>Benson Hall - Elevator Upgrades</v>
      </c>
      <c r="F52" s="3" t="str">
        <f>VLOOKUP(C52,'Project Status'!C:J,8,FALSE)</f>
        <v>Construction</v>
      </c>
      <c r="G52" s="3" t="str">
        <f>VLOOKUP(C52,'Project Status'!C:K,9,FALSE)</f>
        <v>Ben Bedock</v>
      </c>
      <c r="H52" s="270"/>
      <c r="I52" s="212">
        <f>VLOOKUP(C52,'Project Status'!C:S,17,FALSE)</f>
        <v>59798</v>
      </c>
      <c r="J52" s="189"/>
      <c r="K52" s="156">
        <f t="shared" si="2"/>
        <v>59798</v>
      </c>
      <c r="L52" s="170"/>
    </row>
    <row r="53" spans="1:14" x14ac:dyDescent="0.4">
      <c r="A53" s="268"/>
      <c r="B53" s="96">
        <v>19</v>
      </c>
      <c r="C53">
        <v>20913</v>
      </c>
      <c r="D53" t="str">
        <f>VLOOKUP(C53,'Project Status'!C:H,6,FALSE)</f>
        <v>WILSON HALL</v>
      </c>
      <c r="E53" s="3" t="str">
        <f>VLOOKUP(C53,'Project Status'!C:I,7,FALSE)</f>
        <v>Wilson Hall - Elevator Upgrades</v>
      </c>
      <c r="F53" s="3" t="str">
        <f>VLOOKUP(C53,'Project Status'!C:J,8,FALSE)</f>
        <v>Construction</v>
      </c>
      <c r="G53" s="3" t="str">
        <f>VLOOKUP(C53,'Project Status'!C:K,9,FALSE)</f>
        <v>Ben Bedock</v>
      </c>
      <c r="H53" s="270"/>
      <c r="I53" s="212">
        <f>VLOOKUP(C53,'Project Status'!C:S,17,FALSE)</f>
        <v>96612</v>
      </c>
      <c r="J53" s="189"/>
      <c r="K53" s="156">
        <f t="shared" si="2"/>
        <v>96612</v>
      </c>
      <c r="L53" s="170"/>
    </row>
    <row r="54" spans="1:14" x14ac:dyDescent="0.4">
      <c r="A54" s="268"/>
      <c r="B54" s="96">
        <v>20</v>
      </c>
      <c r="C54">
        <v>20922</v>
      </c>
      <c r="D54" t="str">
        <f>VLOOKUP(C54,'Project Status'!C:H,6,FALSE)</f>
        <v>VAUGHN HOME</v>
      </c>
      <c r="E54" s="3" t="str">
        <f>VLOOKUP(C54,'Project Status'!C:I,7,FALSE)</f>
        <v>Vaughn Home - Exterior Improvements</v>
      </c>
      <c r="F54" s="3" t="str">
        <f>VLOOKUP(C54,'Project Status'!C:J,8,FALSE)</f>
        <v>Award</v>
      </c>
      <c r="G54" s="3" t="str">
        <f>VLOOKUP(C54,'Project Status'!C:K,9,FALSE)</f>
        <v>Jay Surprenant</v>
      </c>
      <c r="H54" s="270"/>
      <c r="I54" s="212">
        <f>VLOOKUP(C54,'Project Status'!C:S,17,FALSE)</f>
        <v>197150</v>
      </c>
      <c r="J54" s="189"/>
      <c r="K54" s="156">
        <f t="shared" ref="K54" si="5">IF(J54="TBD",J54,SUM(I54:J54))</f>
        <v>197150</v>
      </c>
      <c r="L54" s="170"/>
    </row>
    <row r="55" spans="1:14" x14ac:dyDescent="0.4">
      <c r="A55" s="268"/>
      <c r="B55" s="96">
        <v>21</v>
      </c>
      <c r="C55">
        <v>20924</v>
      </c>
      <c r="D55" t="str">
        <f>VLOOKUP(C55,'Project Status'!C:H,6,FALSE)</f>
        <v>FRIST HALL</v>
      </c>
      <c r="E55" s="3" t="str">
        <f>VLOOKUP(C55,'Project Status'!C:I,7,FALSE)</f>
        <v>Frist Hall - Stairwell Roof Replacement</v>
      </c>
      <c r="F55" s="3" t="str">
        <f>VLOOKUP(C55,'Project Status'!C:J,8,FALSE)</f>
        <v>Construction</v>
      </c>
      <c r="G55" s="3" t="str">
        <f>VLOOKUP(C55,'Project Status'!C:K,9,FALSE)</f>
        <v>Ben Bedock</v>
      </c>
      <c r="H55" s="270"/>
      <c r="I55" s="212">
        <f>VLOOKUP(C55,'Project Status'!C:S,17,FALSE)</f>
        <v>30570</v>
      </c>
      <c r="J55" s="189"/>
      <c r="K55" s="156">
        <f t="shared" ref="K55" si="6">IF(J55="TBD",J55,SUM(I55:J55))</f>
        <v>30570</v>
      </c>
      <c r="L55" s="170"/>
    </row>
    <row r="56" spans="1:14" x14ac:dyDescent="0.4">
      <c r="A56" s="268"/>
      <c r="B56" s="96">
        <v>22</v>
      </c>
      <c r="C56">
        <v>20936</v>
      </c>
      <c r="D56" t="str">
        <f>VLOOKUP(C56,'Project Status'!C:H,6,FALSE)</f>
        <v>WILSON HALL</v>
      </c>
      <c r="E56" s="3" t="str">
        <f>VLOOKUP(C56,'Project Status'!C:I,7,FALSE)</f>
        <v>Wilson Hall - Lighting Retrofit for 103 and 126</v>
      </c>
      <c r="F56" s="3" t="str">
        <f>VLOOKUP(C56,'Project Status'!C:J,8,FALSE)</f>
        <v>Construction</v>
      </c>
      <c r="G56" s="3" t="str">
        <f>VLOOKUP(C56,'Project Status'!C:K,9,FALSE)</f>
        <v>Jay Surprenant</v>
      </c>
      <c r="H56" s="270"/>
      <c r="I56" s="212">
        <f>VLOOKUP(C56,'Project Status'!C:S,17,FALSE)</f>
        <v>404655.91</v>
      </c>
      <c r="J56" s="189"/>
      <c r="K56" s="156">
        <f t="shared" si="2"/>
        <v>404655.91</v>
      </c>
      <c r="L56" s="170"/>
    </row>
    <row r="57" spans="1:14" x14ac:dyDescent="0.4">
      <c r="A57" s="268"/>
      <c r="B57" s="96">
        <v>23</v>
      </c>
      <c r="C57">
        <v>20945</v>
      </c>
      <c r="D57" t="str">
        <f>VLOOKUP(C57,'Project Status'!C:H,6,FALSE)</f>
        <v>SEIGENTHALER CENTER</v>
      </c>
      <c r="E57" s="3" t="str">
        <f>VLOOKUP(C57,'Project Status'!C:I,7,FALSE)</f>
        <v>Seigenthaler Building - HVAC Improvements</v>
      </c>
      <c r="F57" s="3" t="str">
        <f>VLOOKUP(C57,'Project Status'!C:J,8,FALSE)</f>
        <v>Construction</v>
      </c>
      <c r="G57" s="3" t="str">
        <f>VLOOKUP(C57,'Project Status'!C:K,9,FALSE)</f>
        <v>Sean Rewers</v>
      </c>
      <c r="H57" s="270"/>
      <c r="I57" s="212">
        <f>VLOOKUP(C57,'Project Status'!C:S,17,FALSE)</f>
        <v>99000</v>
      </c>
      <c r="J57" s="189"/>
      <c r="K57" s="156">
        <f t="shared" ref="K57" si="7">IF(J57="TBD",J57,SUM(I57:J57))</f>
        <v>99000</v>
      </c>
      <c r="L57" s="170"/>
    </row>
    <row r="58" spans="1:14" x14ac:dyDescent="0.4">
      <c r="A58" s="268"/>
      <c r="B58" s="96">
        <v>24</v>
      </c>
      <c r="C58">
        <v>20958</v>
      </c>
      <c r="D58" t="str">
        <f>VLOOKUP(C58,'Project Status'!C:H,6,FALSE)</f>
        <v>FURMAN HALL</v>
      </c>
      <c r="E58" s="3" t="str">
        <f>VLOOKUP(C58,'Project Status'!C:I,7,FALSE)</f>
        <v>Furman Hall - Elevator Modernization</v>
      </c>
      <c r="F58" s="3" t="str">
        <f>VLOOKUP(C58,'Project Status'!C:J,8,FALSE)</f>
        <v>Design</v>
      </c>
      <c r="G58" s="3" t="str">
        <f>VLOOKUP(C58,'Project Status'!C:K,9,FALSE)</f>
        <v>Ben Bedock</v>
      </c>
      <c r="H58" s="270"/>
      <c r="I58" s="212">
        <f>VLOOKUP(C58,'Project Status'!C:S,17,FALSE)</f>
        <v>18175</v>
      </c>
      <c r="J58" s="189"/>
      <c r="K58" s="156">
        <f t="shared" ref="K58" si="8">IF(J58="TBD",J58,SUM(I58:J58))</f>
        <v>18175</v>
      </c>
      <c r="L58" s="170"/>
    </row>
    <row r="59" spans="1:14" x14ac:dyDescent="0.4">
      <c r="A59" s="268"/>
      <c r="B59" s="96">
        <v>25</v>
      </c>
      <c r="C59">
        <v>20982</v>
      </c>
      <c r="D59" t="str">
        <f>VLOOKUP(C59,'Project Status'!C:H,6,FALSE)</f>
        <v>LAW SCHOOL</v>
      </c>
      <c r="E59" s="3" t="str">
        <f>VLOOKUP(C59,'Project Status'!C:I,7,FALSE)</f>
        <v>Law School - Elevator 1 Modernization</v>
      </c>
      <c r="F59" s="3" t="str">
        <f>VLOOKUP(C59,'Project Status'!C:J,8,FALSE)</f>
        <v>Programming or Planning</v>
      </c>
      <c r="G59" s="3" t="str">
        <f>VLOOKUP(C59,'Project Status'!C:K,9,FALSE)</f>
        <v>Ben Bedock</v>
      </c>
      <c r="H59" s="270"/>
      <c r="I59" s="212">
        <f>VLOOKUP(C59,'Project Status'!C:S,17,FALSE)</f>
        <v>18175</v>
      </c>
      <c r="J59" s="189"/>
      <c r="K59" s="156">
        <f t="shared" ref="K59" si="9">IF(J59="TBD",J59,SUM(I59:J59))</f>
        <v>18175</v>
      </c>
      <c r="L59" s="170"/>
      <c r="N59" s="148"/>
    </row>
    <row r="60" spans="1:14" x14ac:dyDescent="0.4">
      <c r="A60" s="268"/>
      <c r="H60" s="270"/>
      <c r="I60" s="212"/>
      <c r="K60" s="148"/>
      <c r="L60" s="170"/>
      <c r="N60" s="148"/>
    </row>
    <row r="61" spans="1:14" s="20" customFormat="1" x14ac:dyDescent="0.4">
      <c r="A61" s="268"/>
      <c r="C61" s="20">
        <v>10098</v>
      </c>
      <c r="D61" s="20" t="str">
        <f>VLOOKUP(C61,'Project Status'!C:H,6,FALSE)</f>
        <v>MRB III BIO/SCI</v>
      </c>
      <c r="E61" s="222" t="str">
        <f>VLOOKUP(C61,'Project Status'!C:I,7,FALSE)</f>
        <v>MRB III - 4th Floor - Replace Controls (Phase 2)</v>
      </c>
      <c r="F61" s="222" t="str">
        <f>VLOOKUP(C61,'Project Status'!C:J,8,FALSE)</f>
        <v>Finalized</v>
      </c>
      <c r="G61" s="222" t="str">
        <f>VLOOKUP(C61,'Project Status'!C:K,9,FALSE)</f>
        <v>Hans Mooy</v>
      </c>
      <c r="H61" s="270"/>
      <c r="I61" s="223">
        <f>VLOOKUP(C61,'Project Status'!C:S,17,FALSE)</f>
        <v>-4400.96</v>
      </c>
      <c r="J61" s="224"/>
      <c r="K61" s="225">
        <f t="shared" ref="K61:K73" si="10">IF(J61="TBD",J61,SUM(I61:J61))</f>
        <v>-4400.96</v>
      </c>
      <c r="L61" s="220"/>
      <c r="N61" s="232"/>
    </row>
    <row r="62" spans="1:14" s="20" customFormat="1" x14ac:dyDescent="0.4">
      <c r="A62" s="268"/>
      <c r="C62" s="20">
        <v>20336</v>
      </c>
      <c r="D62" s="20" t="str">
        <f>VLOOKUP(C62,'Project Status'!C:H,6,FALSE)</f>
        <v>BLAIR SCHOOL OF MUSIC</v>
      </c>
      <c r="E62" s="222" t="str">
        <f>VLOOKUP(C62,'Project Status'!C:I,7,FALSE)</f>
        <v>Blair School of Music - Elevator #3 Modernization</v>
      </c>
      <c r="F62" s="222" t="str">
        <f>VLOOKUP(C62,'Project Status'!C:J,8,FALSE)</f>
        <v>Finalized</v>
      </c>
      <c r="G62" s="222" t="str">
        <f>VLOOKUP(C62,'Project Status'!C:K,9,FALSE)</f>
        <v>Ben Bedock</v>
      </c>
      <c r="H62" s="270"/>
      <c r="I62" s="223">
        <f>VLOOKUP(C62,'Project Status'!C:S,17,FALSE)</f>
        <v>-47290</v>
      </c>
      <c r="J62" s="224"/>
      <c r="K62" s="225">
        <f t="shared" si="10"/>
        <v>-47290</v>
      </c>
      <c r="L62" s="220"/>
    </row>
    <row r="63" spans="1:14" s="20" customFormat="1" x14ac:dyDescent="0.4">
      <c r="A63" s="268"/>
      <c r="C63" s="20">
        <v>20497</v>
      </c>
      <c r="D63" s="20" t="str">
        <f>VLOOKUP(C63,'Project Status'!C:H,6,FALSE)</f>
        <v>JESUP PSYCHOLOGY</v>
      </c>
      <c r="E63" s="222" t="str">
        <f>VLOOKUP(C63,'Project Status'!C:I,7,FALSE)</f>
        <v>Jesup - Roof Replacement</v>
      </c>
      <c r="F63" s="222" t="str">
        <f>VLOOKUP(C63,'Project Status'!C:J,8,FALSE)</f>
        <v>Finalized</v>
      </c>
      <c r="G63" s="222" t="str">
        <f>VLOOKUP(C63,'Project Status'!C:K,9,FALSE)</f>
        <v>Ben Bedock</v>
      </c>
      <c r="H63" s="270"/>
      <c r="I63" s="223">
        <f>VLOOKUP(C63,'Project Status'!C:S,17,FALSE)</f>
        <v>-44850</v>
      </c>
      <c r="J63" s="224"/>
      <c r="K63" s="225">
        <f t="shared" si="10"/>
        <v>-44850</v>
      </c>
      <c r="L63" s="220"/>
    </row>
    <row r="64" spans="1:14" s="20" customFormat="1" x14ac:dyDescent="0.4">
      <c r="A64" s="268"/>
      <c r="C64" s="20">
        <v>20506</v>
      </c>
      <c r="D64" s="20" t="str">
        <f>VLOOKUP(C64,'Project Status'!C:H,6,FALSE)</f>
        <v>WYATT CENTER</v>
      </c>
      <c r="E64" s="222" t="str">
        <f>VLOOKUP(C64,'Project Status'!C:I,7,FALSE)</f>
        <v>Wyatt Center - Window Replacement</v>
      </c>
      <c r="F64" s="222" t="str">
        <f>VLOOKUP(C64,'Project Status'!C:J,8,FALSE)</f>
        <v>Finalized</v>
      </c>
      <c r="G64" s="222" t="str">
        <f>VLOOKUP(C64,'Project Status'!C:K,9,FALSE)</f>
        <v>Ben Bedock</v>
      </c>
      <c r="H64" s="270"/>
      <c r="I64" s="223">
        <f>VLOOKUP(C64,'Project Status'!C:S,17,FALSE)</f>
        <v>-36379</v>
      </c>
      <c r="J64" s="224"/>
      <c r="K64" s="225">
        <f t="shared" si="10"/>
        <v>-36379</v>
      </c>
      <c r="L64" s="220"/>
    </row>
    <row r="65" spans="1:15" s="20" customFormat="1" x14ac:dyDescent="0.4">
      <c r="A65" s="268"/>
      <c r="C65" s="20">
        <v>20562</v>
      </c>
      <c r="D65" s="20" t="str">
        <f>VLOOKUP(C65,'Project Status'!C:H,6,FALSE)</f>
        <v>WYATT CENTER</v>
      </c>
      <c r="E65" s="222" t="str">
        <f>VLOOKUP(C65,'Project Status'!C:I,7,FALSE)</f>
        <v>Wyatt Center - VAV Replacement</v>
      </c>
      <c r="F65" s="222" t="str">
        <f>VLOOKUP(C65,'Project Status'!C:J,8,FALSE)</f>
        <v>Finalized</v>
      </c>
      <c r="G65" s="222" t="str">
        <f>VLOOKUP(C65,'Project Status'!C:K,9,FALSE)</f>
        <v>Sean Rewers</v>
      </c>
      <c r="H65" s="270"/>
      <c r="I65" s="223">
        <f>VLOOKUP(C65,'Project Status'!C:S,17,FALSE)</f>
        <v>-43231.360000000001</v>
      </c>
      <c r="J65" s="224"/>
      <c r="K65" s="225">
        <f t="shared" si="10"/>
        <v>-43231.360000000001</v>
      </c>
      <c r="L65" s="220"/>
    </row>
    <row r="66" spans="1:15" s="20" customFormat="1" x14ac:dyDescent="0.4">
      <c r="A66" s="268"/>
      <c r="C66" s="20">
        <v>20566</v>
      </c>
      <c r="D66" s="20" t="str">
        <f>VLOOKUP(C66,'Project Status'!C:H,6,FALSE)</f>
        <v>SC CHEMISTRY</v>
      </c>
      <c r="E66" s="222" t="str">
        <f>VLOOKUP(C66,'Project Status'!C:I,7,FALSE)</f>
        <v>SC Chemistry (SC7) - Elevator 1 &amp; 2 Modernization</v>
      </c>
      <c r="F66" s="222" t="str">
        <f>VLOOKUP(C66,'Project Status'!C:J,8,FALSE)</f>
        <v>Finalized</v>
      </c>
      <c r="G66" s="222" t="str">
        <f>VLOOKUP(C66,'Project Status'!C:K,9,FALSE)</f>
        <v>Ben Bedock</v>
      </c>
      <c r="H66" s="270"/>
      <c r="I66" s="223">
        <f>VLOOKUP(C66,'Project Status'!C:S,17,FALSE)</f>
        <v>-59283.32</v>
      </c>
      <c r="J66" s="224"/>
      <c r="K66" s="225">
        <f t="shared" si="10"/>
        <v>-59283.32</v>
      </c>
      <c r="L66" s="220"/>
    </row>
    <row r="67" spans="1:15" s="20" customFormat="1" x14ac:dyDescent="0.4">
      <c r="A67" s="268"/>
      <c r="C67" s="20">
        <v>20573</v>
      </c>
      <c r="D67" s="20" t="str">
        <f>VLOOKUP(C67,'Project Status'!C:H,6,FALSE)</f>
        <v>WYATT CENTER</v>
      </c>
      <c r="E67" s="222" t="str">
        <f>VLOOKUP(C67,'Project Status'!C:I,7,FALSE)</f>
        <v>Wyatt Center - Roof Replacement</v>
      </c>
      <c r="F67" s="222" t="str">
        <f>VLOOKUP(C67,'Project Status'!C:J,8,FALSE)</f>
        <v>Finalized</v>
      </c>
      <c r="G67" s="222" t="str">
        <f>VLOOKUP(C67,'Project Status'!C:K,9,FALSE)</f>
        <v>Ben Bedock</v>
      </c>
      <c r="H67" s="270"/>
      <c r="I67" s="223">
        <f>VLOOKUP(C67,'Project Status'!C:S,17,FALSE)</f>
        <v>-119221</v>
      </c>
      <c r="J67" s="224"/>
      <c r="K67" s="225">
        <f t="shared" si="10"/>
        <v>-119221</v>
      </c>
      <c r="L67" s="220"/>
    </row>
    <row r="68" spans="1:15" s="20" customFormat="1" x14ac:dyDescent="0.4">
      <c r="A68" s="268"/>
      <c r="C68" s="20">
        <v>20574</v>
      </c>
      <c r="D68" s="20" t="str">
        <f>VLOOKUP(C68,'Project Status'!C:H,6,FALSE)</f>
        <v>MRB III BIO/SCI</v>
      </c>
      <c r="E68" s="222" t="str">
        <f>VLOOKUP(C68,'Project Status'!C:I,7,FALSE)</f>
        <v>MRB III - Steam Coil Replacement</v>
      </c>
      <c r="F68" s="222" t="str">
        <f>VLOOKUP(C68,'Project Status'!C:J,8,FALSE)</f>
        <v>Finalized</v>
      </c>
      <c r="G68" s="222" t="str">
        <f>VLOOKUP(C68,'Project Status'!C:K,9,FALSE)</f>
        <v>Sean Rewers</v>
      </c>
      <c r="H68" s="270"/>
      <c r="I68" s="223">
        <f>VLOOKUP(C68,'Project Status'!C:S,17,FALSE)</f>
        <v>-22537</v>
      </c>
      <c r="J68" s="224"/>
      <c r="K68" s="225">
        <f t="shared" si="10"/>
        <v>-22537</v>
      </c>
      <c r="L68" s="226"/>
    </row>
    <row r="69" spans="1:15" s="20" customFormat="1" x14ac:dyDescent="0.4">
      <c r="A69" s="268"/>
      <c r="C69" s="20">
        <v>20644</v>
      </c>
      <c r="D69" s="20" t="str">
        <f>VLOOKUP(C69,'Project Status'!C:H,6,FALSE)</f>
        <v>PEABODY ADMINISTRATION</v>
      </c>
      <c r="E69" s="222" t="str">
        <f>VLOOKUP(C69,'Project Status'!C:I,7,FALSE)</f>
        <v>Peabody Administration - Envelope Repairs</v>
      </c>
      <c r="F69" s="222" t="str">
        <f>VLOOKUP(C69,'Project Status'!C:J,8,FALSE)</f>
        <v>Finalized</v>
      </c>
      <c r="G69" s="222" t="str">
        <f>VLOOKUP(C69,'Project Status'!C:K,9,FALSE)</f>
        <v>Ben Bedock</v>
      </c>
      <c r="H69" s="270"/>
      <c r="I69" s="223">
        <f>VLOOKUP(C69,'Project Status'!C:S,17,FALSE)</f>
        <v>-58765</v>
      </c>
      <c r="J69" s="224"/>
      <c r="K69" s="225">
        <f t="shared" si="10"/>
        <v>-58765</v>
      </c>
      <c r="L69" s="226"/>
    </row>
    <row r="70" spans="1:15" s="20" customFormat="1" x14ac:dyDescent="0.4">
      <c r="A70" s="268"/>
      <c r="C70" s="20">
        <v>20645</v>
      </c>
      <c r="D70" s="20" t="str">
        <f>VLOOKUP(C70,'Project Status'!C:H,6,FALSE)</f>
        <v>BENSON OLD CENTRAL</v>
      </c>
      <c r="E70" s="222" t="str">
        <f>VLOOKUP(C70,'Project Status'!C:I,7,FALSE)</f>
        <v>Benson Old Central - Replace Soffit and Doors</v>
      </c>
      <c r="F70" s="222" t="str">
        <f>VLOOKUP(C70,'Project Status'!C:J,8,FALSE)</f>
        <v>Finalized</v>
      </c>
      <c r="G70" s="222" t="str">
        <f>VLOOKUP(C70,'Project Status'!C:K,9,FALSE)</f>
        <v>Ben Bedock</v>
      </c>
      <c r="H70" s="270"/>
      <c r="I70" s="223">
        <f>VLOOKUP(C70,'Project Status'!C:S,17,FALSE)</f>
        <v>-11525</v>
      </c>
      <c r="J70" s="224"/>
      <c r="K70" s="225">
        <f t="shared" si="10"/>
        <v>-11525</v>
      </c>
      <c r="L70" s="221" t="s">
        <v>386</v>
      </c>
    </row>
    <row r="71" spans="1:15" s="20" customFormat="1" x14ac:dyDescent="0.4">
      <c r="A71" s="268"/>
      <c r="C71" s="20">
        <v>20702</v>
      </c>
      <c r="D71" s="20" t="str">
        <f>VLOOKUP(C71,'Project Status'!C:H,6,FALSE)</f>
        <v>WYATT CENTER</v>
      </c>
      <c r="E71" s="222" t="str">
        <f>VLOOKUP(C71,'Project Status'!C:I,7,FALSE)</f>
        <v>Wyatt Center - Elevator #2 Modernization</v>
      </c>
      <c r="F71" s="222" t="str">
        <f>VLOOKUP(C71,'Project Status'!C:J,8,FALSE)</f>
        <v>Finalized</v>
      </c>
      <c r="G71" s="222" t="str">
        <f>VLOOKUP(C71,'Project Status'!C:K,9,FALSE)</f>
        <v>Ben Bedock</v>
      </c>
      <c r="H71" s="270"/>
      <c r="I71" s="223">
        <f>VLOOKUP(C71,'Project Status'!C:S,17,FALSE)</f>
        <v>-29922</v>
      </c>
      <c r="J71" s="224"/>
      <c r="K71" s="225">
        <f t="shared" si="10"/>
        <v>-29922</v>
      </c>
      <c r="L71" s="221" t="s">
        <v>387</v>
      </c>
    </row>
    <row r="72" spans="1:15" s="20" customFormat="1" x14ac:dyDescent="0.4">
      <c r="A72" s="268"/>
      <c r="C72" s="20">
        <v>20771</v>
      </c>
      <c r="D72" s="20" t="str">
        <f>VLOOKUP(C72,'Project Status'!C:H,6,FALSE)</f>
        <v>SC CHEMISTRY</v>
      </c>
      <c r="E72" s="222" t="str">
        <f>VLOOKUP(C72,'Project Status'!C:I,7,FALSE)</f>
        <v>SC4 - Interstitial Space HVAC Modifications</v>
      </c>
      <c r="F72" s="222" t="str">
        <f>VLOOKUP(C72,'Project Status'!C:J,8,FALSE)</f>
        <v>Finalized</v>
      </c>
      <c r="G72" s="222" t="str">
        <f>VLOOKUP(C72,'Project Status'!C:K,9,FALSE)</f>
        <v>Sean Rewers</v>
      </c>
      <c r="H72" s="270"/>
      <c r="I72" s="223">
        <f>VLOOKUP(C72,'Project Status'!C:S,17,FALSE)</f>
        <v>-7025</v>
      </c>
      <c r="J72" s="224"/>
      <c r="K72" s="225">
        <f t="shared" ref="K72" si="11">IF(J72="TBD",J72,SUM(I72:J72))</f>
        <v>-7025</v>
      </c>
      <c r="L72" s="221"/>
    </row>
    <row r="73" spans="1:15" s="20" customFormat="1" x14ac:dyDescent="0.4">
      <c r="A73" s="268"/>
      <c r="C73" s="20">
        <v>20792</v>
      </c>
      <c r="D73" s="20" t="str">
        <f>VLOOKUP(C73,'Project Status'!C:H,6,FALSE)</f>
        <v>LAW SCHOOL</v>
      </c>
      <c r="E73" s="222" t="str">
        <f>VLOOKUP(C73,'Project Status'!C:I,7,FALSE)</f>
        <v>Law School - Sections 1, 2, &amp; 3  Roof Replacement</v>
      </c>
      <c r="F73" s="222" t="str">
        <f>VLOOKUP(C73,'Project Status'!C:J,8,FALSE)</f>
        <v>Finalized</v>
      </c>
      <c r="G73" s="222" t="str">
        <f>VLOOKUP(C73,'Project Status'!C:K,9,FALSE)</f>
        <v>Ben Bedock</v>
      </c>
      <c r="H73" s="270"/>
      <c r="I73" s="223">
        <f>VLOOKUP(C73,'Project Status'!C:S,17,FALSE)</f>
        <v>-32665</v>
      </c>
      <c r="J73" s="224"/>
      <c r="K73" s="225">
        <f t="shared" si="10"/>
        <v>-32665</v>
      </c>
      <c r="L73" s="226">
        <f>L32</f>
        <v>567212.74000000022</v>
      </c>
    </row>
    <row r="74" spans="1:15" x14ac:dyDescent="0.4">
      <c r="A74" s="268"/>
      <c r="C74" s="20">
        <v>20735</v>
      </c>
      <c r="D74" s="20" t="str">
        <f>VLOOKUP(C74,'Project Status'!C:H,6,FALSE)</f>
        <v>OWEN GRAD MGMT</v>
      </c>
      <c r="E74" s="222" t="str">
        <f>VLOOKUP(C74,'Project Status'!C:I,7,FALSE)</f>
        <v>Owen - Roof Replacement (Third Level)</v>
      </c>
      <c r="F74" s="222" t="str">
        <f>VLOOKUP(C74,'Project Status'!C:J,8,FALSE)</f>
        <v>Financial Closeout</v>
      </c>
      <c r="G74" s="222" t="str">
        <f>VLOOKUP(C74,'Project Status'!C:K,9,FALSE)</f>
        <v>Ben Bedock</v>
      </c>
      <c r="H74" s="270"/>
      <c r="I74" s="223">
        <f>VLOOKUP(C74,'Project Status'!C:S,17,FALSE)</f>
        <v>-23500</v>
      </c>
      <c r="J74" s="224"/>
      <c r="K74" s="225">
        <f t="shared" ref="K74" si="12">IF(J74="TBD",J74,SUM(I74:J74))</f>
        <v>-23500</v>
      </c>
      <c r="L74" s="170"/>
    </row>
    <row r="75" spans="1:15" x14ac:dyDescent="0.4">
      <c r="H75" s="270"/>
      <c r="I75" s="154">
        <f>SUM(I35:I74)</f>
        <v>11427472.939999999</v>
      </c>
      <c r="J75" s="154">
        <f>SUM(J35:J74)</f>
        <v>0</v>
      </c>
      <c r="K75" s="154">
        <f>SUM(K35:K74)</f>
        <v>11427472.939999999</v>
      </c>
      <c r="L75" s="154">
        <f>H35-K75+L73</f>
        <v>169023.08999999985</v>
      </c>
      <c r="N75" s="148"/>
      <c r="O75" s="148"/>
    </row>
    <row r="76" spans="1:15" x14ac:dyDescent="0.4">
      <c r="I76" s="231"/>
      <c r="J76" s="231"/>
      <c r="L76" s="148"/>
      <c r="M76" s="148"/>
      <c r="N76" s="148"/>
      <c r="O76" s="148"/>
    </row>
    <row r="77" spans="1:15" x14ac:dyDescent="0.4">
      <c r="A77" s="269" t="s">
        <v>287</v>
      </c>
      <c r="B77" s="158"/>
      <c r="C77" s="158" t="s">
        <v>125</v>
      </c>
      <c r="D77" s="158" t="s">
        <v>114</v>
      </c>
      <c r="E77" s="158" t="s">
        <v>87</v>
      </c>
      <c r="F77" s="229" t="s">
        <v>128</v>
      </c>
      <c r="G77" s="229" t="s">
        <v>129</v>
      </c>
      <c r="H77" s="162" t="s">
        <v>286</v>
      </c>
      <c r="I77" s="159" t="s">
        <v>250</v>
      </c>
      <c r="J77" s="159" t="s">
        <v>284</v>
      </c>
      <c r="K77" s="168" t="s">
        <v>283</v>
      </c>
      <c r="L77" s="169" t="s">
        <v>251</v>
      </c>
    </row>
    <row r="78" spans="1:15" s="3" customFormat="1" ht="14.7" customHeight="1" x14ac:dyDescent="0.4">
      <c r="A78" s="269"/>
      <c r="B78" s="236">
        <v>1</v>
      </c>
      <c r="C78" s="3">
        <v>20577</v>
      </c>
      <c r="D78" s="3" t="str">
        <f>VLOOKUP(C78,'Project Status'!C:H,6,FALSE)</f>
        <v>BLAIR SCHOOL OF MUSIC</v>
      </c>
      <c r="E78" s="3" t="str">
        <f>VLOOKUP(C78,'Project Status'!C:I,7,FALSE)</f>
        <v>Blair School of Music - AHU - 1 Replacement -Phase 1 - FY25</v>
      </c>
      <c r="F78" s="3" t="str">
        <f>VLOOKUP(C78,'Project Status'!C:J,8,FALSE)</f>
        <v>Award</v>
      </c>
      <c r="G78" s="3" t="str">
        <f>VLOOKUP(C78,'Project Status'!C:K,9,FALSE)</f>
        <v>Hans Mooy</v>
      </c>
      <c r="H78" s="271">
        <f>Contributions!K17</f>
        <v>12857284.462265246</v>
      </c>
      <c r="I78" s="212">
        <f>VLOOKUP(C78,'Project Status'!C:U,18,FALSE)</f>
        <v>0</v>
      </c>
      <c r="J78" s="237">
        <f>VLOOKUP(C78,'Project Status'!C:U,19,FALSE)</f>
        <v>1300000</v>
      </c>
      <c r="K78" s="156">
        <f t="shared" ref="K78:K86" si="13">IF(J78="TBD",J78,SUM(I78:J78))</f>
        <v>1300000</v>
      </c>
      <c r="L78" s="238"/>
      <c r="M78" s="222" t="s">
        <v>347</v>
      </c>
    </row>
    <row r="79" spans="1:15" s="3" customFormat="1" ht="14.7" customHeight="1" x14ac:dyDescent="0.4">
      <c r="A79" s="269"/>
      <c r="B79" s="236">
        <v>2</v>
      </c>
      <c r="C79" s="3">
        <v>20667</v>
      </c>
      <c r="D79" s="3" t="str">
        <f>VLOOKUP(C79,'Project Status'!C:H,6,FALSE)</f>
        <v>1025 16TH AVE S</v>
      </c>
      <c r="E79" s="3" t="str">
        <f>VLOOKUP(C79,'Project Status'!C:I,7,FALSE)</f>
        <v>1025 16th Avenue - Mechanical and Electrical Upgrades</v>
      </c>
      <c r="F79" s="3" t="str">
        <f>VLOOKUP(C79,'Project Status'!C:J,8,FALSE)</f>
        <v>Design</v>
      </c>
      <c r="G79" s="3" t="str">
        <f>VLOOKUP(C79,'Project Status'!C:K,9,FALSE)</f>
        <v>Sean Rewers</v>
      </c>
      <c r="H79" s="271"/>
      <c r="I79" s="212">
        <f>VLOOKUP(C79,'Project Status'!C:U,18,FALSE)</f>
        <v>0</v>
      </c>
      <c r="J79" s="237" t="str">
        <f>VLOOKUP(C79,'Project Status'!C:U,19,FALSE)</f>
        <v>TBD</v>
      </c>
      <c r="K79" s="156" t="str">
        <f t="shared" si="13"/>
        <v>TBD</v>
      </c>
      <c r="L79" s="238"/>
      <c r="M79" s="222"/>
    </row>
    <row r="80" spans="1:15" s="3" customFormat="1" x14ac:dyDescent="0.4">
      <c r="A80" s="269"/>
      <c r="B80" s="236">
        <v>3</v>
      </c>
      <c r="C80" s="3">
        <v>20723</v>
      </c>
      <c r="D80" s="3" t="str">
        <f>VLOOKUP(C80,'Project Status'!C:H,6,FALSE)</f>
        <v>MRB III BIO/SCI</v>
      </c>
      <c r="E80" s="3" t="str">
        <f>VLOOKUP(C80,'Project Status'!C:I,7,FALSE)</f>
        <v>MRB III - 9th Floor (with 4 ,5 &amp; 8) - Replace Controls (Phase 3)</v>
      </c>
      <c r="F80" s="3" t="str">
        <f>VLOOKUP(C80,'Project Status'!C:J,8,FALSE)</f>
        <v>Award</v>
      </c>
      <c r="G80" s="3" t="str">
        <f>VLOOKUP(C80,'Project Status'!C:K,9,FALSE)</f>
        <v>Andy Maddox</v>
      </c>
      <c r="H80" s="271"/>
      <c r="I80" s="212">
        <f>VLOOKUP(C80,'Project Status'!C:U,18,FALSE)</f>
        <v>0</v>
      </c>
      <c r="J80" s="237">
        <f>VLOOKUP(C80,'Project Status'!C:U,19,FALSE)</f>
        <v>1539500</v>
      </c>
      <c r="K80" s="156">
        <f t="shared" si="13"/>
        <v>1539500</v>
      </c>
      <c r="L80" s="238"/>
    </row>
    <row r="81" spans="1:13" s="3" customFormat="1" x14ac:dyDescent="0.4">
      <c r="A81" s="269"/>
      <c r="B81" s="236">
        <v>4</v>
      </c>
      <c r="C81" s="3">
        <v>20772</v>
      </c>
      <c r="D81" s="3" t="str">
        <f>VLOOKUP(C81,'Project Status'!C:H,6,FALSE)</f>
        <v>OWEN GRAD MGMT</v>
      </c>
      <c r="E81" s="3" t="str">
        <f>VLOOKUP(C81,'Project Status'!C:I,7,FALSE)</f>
        <v>OGSM Old Mechanical- Slate Roof &amp; Window Replacement</v>
      </c>
      <c r="F81" s="3" t="str">
        <f>VLOOKUP(C81,'Project Status'!C:J,8,FALSE)</f>
        <v>Construction</v>
      </c>
      <c r="G81" s="3" t="str">
        <f>VLOOKUP(C81,'Project Status'!C:K,9,FALSE)</f>
        <v>Ben Bedock</v>
      </c>
      <c r="H81" s="271"/>
      <c r="I81" s="212">
        <f>VLOOKUP(C81,'Project Status'!C:U,18,FALSE)</f>
        <v>1600000</v>
      </c>
      <c r="J81" s="237">
        <f>VLOOKUP(C81,'Project Status'!C:U,19,FALSE)</f>
        <v>0</v>
      </c>
      <c r="K81" s="156">
        <f t="shared" si="13"/>
        <v>1600000</v>
      </c>
      <c r="L81" s="238"/>
    </row>
    <row r="82" spans="1:13" x14ac:dyDescent="0.4">
      <c r="A82" s="269"/>
      <c r="B82" s="236">
        <v>5</v>
      </c>
      <c r="C82">
        <v>20934</v>
      </c>
      <c r="D82" t="str">
        <f>VLOOKUP(C82,'Project Status'!C:H,6,FALSE)</f>
        <v>NEELY AUDITORIUM</v>
      </c>
      <c r="E82" t="str">
        <f>VLOOKUP(C82,'Project Status'!C:I,7,FALSE)</f>
        <v>Neely Auditorium - MEP Feasibility Study</v>
      </c>
      <c r="F82" t="str">
        <f>VLOOKUP(C82,'Project Status'!C:J,8,FALSE)</f>
        <v>Not Started</v>
      </c>
      <c r="G82" t="str">
        <f>VLOOKUP(C82,'Project Status'!C:K,9,FALSE)</f>
        <v>Sean Rewers</v>
      </c>
      <c r="H82" s="271"/>
      <c r="I82" s="212">
        <f>VLOOKUP(C82,'Project Status'!C:U,18,FALSE)</f>
        <v>0</v>
      </c>
      <c r="J82" s="237" t="str">
        <f>VLOOKUP(C82,'Project Status'!C:U,19,FALSE)</f>
        <v>TBD</v>
      </c>
      <c r="K82" s="156" t="str">
        <f t="shared" si="13"/>
        <v>TBD</v>
      </c>
      <c r="L82" s="172"/>
    </row>
    <row r="83" spans="1:13" x14ac:dyDescent="0.4">
      <c r="A83" s="269"/>
      <c r="B83" s="236">
        <v>6</v>
      </c>
      <c r="C83">
        <v>20940</v>
      </c>
      <c r="D83" t="str">
        <f>VLOOKUP(C83,'Project Status'!C:H,6,FALSE)</f>
        <v>1025 16TH AVE S</v>
      </c>
      <c r="E83" t="str">
        <f>VLOOKUP(C83,'Project Status'!C:I,7,FALSE)</f>
        <v>1025 16th Avenue - Security System Replacement</v>
      </c>
      <c r="F83" t="str">
        <f>VLOOKUP(C83,'Project Status'!C:J,8,FALSE)</f>
        <v>Programming or Planning</v>
      </c>
      <c r="G83" t="str">
        <f>VLOOKUP(C83,'Project Status'!C:K,9,FALSE)</f>
        <v>Sean Rewers</v>
      </c>
      <c r="H83" s="271"/>
      <c r="I83" s="212">
        <f>VLOOKUP(C83,'Project Status'!C:U,18,FALSE)</f>
        <v>0</v>
      </c>
      <c r="J83" s="237" t="str">
        <f>VLOOKUP(C83,'Project Status'!C:U,19,FALSE)</f>
        <v>TBD</v>
      </c>
      <c r="K83" s="156" t="str">
        <f t="shared" si="13"/>
        <v>TBD</v>
      </c>
      <c r="L83" s="172"/>
    </row>
    <row r="84" spans="1:13" x14ac:dyDescent="0.4">
      <c r="A84" s="269"/>
      <c r="B84" s="236">
        <v>7</v>
      </c>
      <c r="C84">
        <v>20958</v>
      </c>
      <c r="D84" t="str">
        <f>VLOOKUP(C84,'Project Status'!C:H,6,FALSE)</f>
        <v>FURMAN HALL</v>
      </c>
      <c r="E84" t="str">
        <f>VLOOKUP(C84,'Project Status'!C:I,7,FALSE)</f>
        <v>Furman Hall - Elevator Modernization</v>
      </c>
      <c r="F84" t="str">
        <f>VLOOKUP(C84,'Project Status'!C:J,8,FALSE)</f>
        <v>Design</v>
      </c>
      <c r="G84" t="str">
        <f>VLOOKUP(C84,'Project Status'!C:K,9,FALSE)</f>
        <v>Ben Bedock</v>
      </c>
      <c r="H84" s="271"/>
      <c r="I84" s="212">
        <f>VLOOKUP(C84,'Project Status'!C:U,18,FALSE)</f>
        <v>0</v>
      </c>
      <c r="J84" s="237" t="str">
        <f>VLOOKUP(C84,'Project Status'!C:U,19,FALSE)</f>
        <v>TBD</v>
      </c>
      <c r="K84" s="225" t="str">
        <f t="shared" si="13"/>
        <v>TBD</v>
      </c>
      <c r="L84" s="172"/>
    </row>
    <row r="85" spans="1:13" x14ac:dyDescent="0.4">
      <c r="A85" s="269"/>
      <c r="B85" s="236">
        <v>8</v>
      </c>
      <c r="C85">
        <v>20962</v>
      </c>
      <c r="D85" t="str">
        <f>VLOOKUP(C85,'Project Status'!C:H,6,FALSE)</f>
        <v>VAUGHN HOME</v>
      </c>
      <c r="E85" t="str">
        <f>VLOOKUP(C85,'Project Status'!C:I,7,FALSE)</f>
        <v>Vaughn Home - Roof Replacement</v>
      </c>
      <c r="F85" t="str">
        <f>VLOOKUP(C85,'Project Status'!C:J,8,FALSE)</f>
        <v>Programming or Planning</v>
      </c>
      <c r="G85" t="str">
        <f>VLOOKUP(C85,'Project Status'!C:K,9,FALSE)</f>
        <v>Ben Bedock</v>
      </c>
      <c r="H85" s="271"/>
      <c r="I85" s="212">
        <f>VLOOKUP(C85,'Project Status'!C:U,18,FALSE)</f>
        <v>0</v>
      </c>
      <c r="J85" s="237" t="str">
        <f>VLOOKUP(C85,'Project Status'!C:U,19,FALSE)</f>
        <v>TBD</v>
      </c>
      <c r="K85" s="225" t="str">
        <f t="shared" si="13"/>
        <v>TBD</v>
      </c>
      <c r="L85" s="234" t="s">
        <v>386</v>
      </c>
    </row>
    <row r="86" spans="1:13" x14ac:dyDescent="0.4">
      <c r="A86" s="269"/>
      <c r="B86" s="236">
        <v>9</v>
      </c>
      <c r="C86">
        <v>20982</v>
      </c>
      <c r="D86" t="str">
        <f>VLOOKUP(C86,'Project Status'!C:H,6,FALSE)</f>
        <v>LAW SCHOOL</v>
      </c>
      <c r="E86" t="str">
        <f>VLOOKUP(C86,'Project Status'!C:I,7,FALSE)</f>
        <v>Law School - Elevator 1 Modernization</v>
      </c>
      <c r="F86" t="str">
        <f>VLOOKUP(C86,'Project Status'!C:J,8,FALSE)</f>
        <v>Programming or Planning</v>
      </c>
      <c r="G86" t="str">
        <f>VLOOKUP(C86,'Project Status'!C:K,9,FALSE)</f>
        <v>Ben Bedock</v>
      </c>
      <c r="H86" s="271"/>
      <c r="I86" s="212">
        <f>VLOOKUP(C86,'Project Status'!C:U,18,FALSE)</f>
        <v>0</v>
      </c>
      <c r="J86" s="237" t="str">
        <f>VLOOKUP(C86,'Project Status'!C:U,19,FALSE)</f>
        <v>TBD</v>
      </c>
      <c r="K86" s="225" t="str">
        <f t="shared" si="13"/>
        <v>TBD</v>
      </c>
      <c r="L86" s="234"/>
    </row>
    <row r="87" spans="1:13" ht="14.7" customHeight="1" x14ac:dyDescent="0.4">
      <c r="A87" s="269"/>
      <c r="H87" s="271"/>
      <c r="K87" s="148"/>
      <c r="L87" s="235">
        <f>L75</f>
        <v>169023.08999999985</v>
      </c>
    </row>
    <row r="88" spans="1:13" ht="14.7" customHeight="1" x14ac:dyDescent="0.4">
      <c r="A88" s="269"/>
      <c r="H88" s="271"/>
      <c r="K88" s="148"/>
      <c r="L88" s="235"/>
    </row>
    <row r="89" spans="1:13" ht="14.7" customHeight="1" x14ac:dyDescent="0.4">
      <c r="A89" s="269"/>
      <c r="H89" s="271"/>
      <c r="K89" s="148"/>
      <c r="L89" s="235"/>
    </row>
    <row r="90" spans="1:13" ht="14.7" customHeight="1" x14ac:dyDescent="0.4">
      <c r="A90" s="269"/>
      <c r="H90" s="271"/>
      <c r="K90" s="148"/>
      <c r="L90" s="235"/>
    </row>
    <row r="91" spans="1:13" ht="14.7" customHeight="1" x14ac:dyDescent="0.4">
      <c r="A91" s="269"/>
      <c r="H91" s="271"/>
      <c r="K91" s="148"/>
      <c r="L91" s="235"/>
    </row>
    <row r="92" spans="1:13" x14ac:dyDescent="0.4">
      <c r="A92" s="269"/>
      <c r="H92" s="271"/>
      <c r="K92" s="148"/>
      <c r="L92" s="172"/>
    </row>
    <row r="93" spans="1:13" x14ac:dyDescent="0.4">
      <c r="H93" s="271"/>
      <c r="I93" s="157">
        <f>SUM(I78:I92)</f>
        <v>1600000</v>
      </c>
      <c r="J93" s="157">
        <f>SUM(J78:J92)</f>
        <v>2839500</v>
      </c>
      <c r="K93" s="157">
        <f>SUM(K78:K92)</f>
        <v>4439500</v>
      </c>
      <c r="L93" s="157">
        <f>H78-K93+L87</f>
        <v>8586807.5522652455</v>
      </c>
    </row>
    <row r="95" spans="1:13" x14ac:dyDescent="0.4">
      <c r="A95" s="265" t="s">
        <v>332</v>
      </c>
      <c r="B95" s="186"/>
      <c r="C95" s="186" t="s">
        <v>125</v>
      </c>
      <c r="D95" s="186" t="s">
        <v>114</v>
      </c>
      <c r="E95" s="186" t="s">
        <v>87</v>
      </c>
      <c r="F95" s="230" t="s">
        <v>128</v>
      </c>
      <c r="G95" s="230" t="s">
        <v>129</v>
      </c>
      <c r="H95" s="184" t="s">
        <v>286</v>
      </c>
      <c r="I95" s="187" t="s">
        <v>250</v>
      </c>
      <c r="J95" s="187" t="s">
        <v>284</v>
      </c>
      <c r="K95" s="188" t="s">
        <v>283</v>
      </c>
      <c r="L95" s="185" t="s">
        <v>251</v>
      </c>
    </row>
    <row r="96" spans="1:13" ht="14.7" customHeight="1" x14ac:dyDescent="0.4">
      <c r="A96" s="265"/>
      <c r="B96" s="96">
        <v>1</v>
      </c>
      <c r="C96">
        <v>20489</v>
      </c>
      <c r="D96" t="str">
        <f>VLOOKUP(C96,'Project Status'!C:H,6,FALSE)</f>
        <v>DIVINITY</v>
      </c>
      <c r="E96" t="str">
        <f>VLOOKUP(C96,'Project Status'!C:I,7,FALSE)</f>
        <v>Divinity Air Handling Unit Replacement,(1/3) - Phase 2 with Benton - FY26</v>
      </c>
      <c r="F96" t="str">
        <f>VLOOKUP(C96,'Project Status'!C:J,8,FALSE)</f>
        <v>Not Started</v>
      </c>
      <c r="G96" t="str">
        <f>VLOOKUP(C96,'Project Status'!C:K,9,FALSE)</f>
        <v>Hans Mooy</v>
      </c>
      <c r="H96" s="264">
        <f>Contributions!K41</f>
        <v>0</v>
      </c>
      <c r="J96" s="155">
        <f>VLOOKUP(C96,'Project Status'!C:W,21,FALSE)</f>
        <v>3170000</v>
      </c>
      <c r="K96" s="156">
        <f>IF(J96="TBD",J96,SUM(I96:J96))</f>
        <v>3170000</v>
      </c>
      <c r="L96" s="53"/>
      <c r="M96" s="20" t="s">
        <v>346</v>
      </c>
    </row>
    <row r="97" spans="1:13" x14ac:dyDescent="0.4">
      <c r="A97" s="265"/>
      <c r="B97" s="96">
        <v>2</v>
      </c>
      <c r="C97">
        <v>20925</v>
      </c>
      <c r="D97" t="str">
        <f>VLOOKUP(C97,'Project Status'!C:H,6,FALSE)</f>
        <v>BLAIR SCHOOL OF MUSIC</v>
      </c>
      <c r="E97" t="str">
        <f>VLOOKUP(C97,'Project Status'!C:I,7,FALSE)</f>
        <v>Blair School of Music - AHU 2/3 Replacement  - Phase 2 - FY26</v>
      </c>
      <c r="F97" t="str">
        <f>VLOOKUP(C97,'Project Status'!C:J,8,FALSE)</f>
        <v>Not Started</v>
      </c>
      <c r="G97" t="str">
        <f>VLOOKUP(C97,'Project Status'!C:K,9,FALSE)</f>
        <v>Hans Mooy</v>
      </c>
      <c r="H97" s="264"/>
      <c r="J97" s="155">
        <f>VLOOKUP(C97,'Project Status'!C:W,21,FALSE)</f>
        <v>2750000</v>
      </c>
      <c r="K97" s="156">
        <f>IF(J97="TBD",J97,SUM(I97:J97))</f>
        <v>2750000</v>
      </c>
      <c r="L97" s="53"/>
      <c r="M97" s="20" t="s">
        <v>346</v>
      </c>
    </row>
    <row r="98" spans="1:13" x14ac:dyDescent="0.4">
      <c r="A98" s="265"/>
      <c r="B98" s="96">
        <v>3</v>
      </c>
      <c r="C98" s="3">
        <v>20668</v>
      </c>
      <c r="D98" t="str">
        <f>VLOOKUP(C98,'Project Status'!C:H,6,FALSE)</f>
        <v>KECK FREE ELECTRON LASER CTR</v>
      </c>
      <c r="E98" t="str">
        <f>VLOOKUP(C98,'Project Status'!C:I,7,FALSE)</f>
        <v>Keck FEL - Mechanical Upgrades</v>
      </c>
      <c r="F98" t="str">
        <f>VLOOKUP(C98,'Project Status'!C:J,8,FALSE)</f>
        <v>Design</v>
      </c>
      <c r="G98" t="str">
        <f>VLOOKUP(C98,'Project Status'!C:K,9,FALSE)</f>
        <v>Sean Rewers</v>
      </c>
      <c r="H98" s="264"/>
      <c r="J98" s="155" t="str">
        <f>VLOOKUP(C98,'Project Status'!C:W,21,FALSE)</f>
        <v>TBD</v>
      </c>
      <c r="K98" s="156" t="str">
        <f>IF(J98="TBD",J98,SUM(I98:J98))</f>
        <v>TBD</v>
      </c>
      <c r="L98" s="53"/>
    </row>
    <row r="99" spans="1:13" x14ac:dyDescent="0.4">
      <c r="A99" s="265"/>
      <c r="B99" s="96">
        <v>4</v>
      </c>
      <c r="C99">
        <v>20563</v>
      </c>
      <c r="D99" t="str">
        <f>VLOOKUP(C99,'Project Status'!C:H,6,FALSE)</f>
        <v>KECK FREE ELECTRON LASER CTR</v>
      </c>
      <c r="E99" t="str">
        <f>VLOOKUP(C99,'Project Status'!C:I,7,FALSE)</f>
        <v>Keck FEL - Roof Replacement</v>
      </c>
      <c r="F99" t="str">
        <f>VLOOKUP(C99,'Project Status'!C:J,8,FALSE)</f>
        <v>Not Started</v>
      </c>
      <c r="G99" t="str">
        <f>VLOOKUP(C99,'Project Status'!C:K,9,FALSE)</f>
        <v>Ben Bedock</v>
      </c>
      <c r="H99" s="264"/>
      <c r="J99" s="155" t="str">
        <f>VLOOKUP(C99,'Project Status'!C:W,21,FALSE)</f>
        <v>TBD</v>
      </c>
      <c r="K99" s="156" t="str">
        <f>IF(J99="TBD",J99,SUM(I99:J99))</f>
        <v>TBD</v>
      </c>
      <c r="L99" s="53"/>
    </row>
    <row r="100" spans="1:13" x14ac:dyDescent="0.4">
      <c r="A100" s="265"/>
      <c r="B100" s="96">
        <v>5</v>
      </c>
      <c r="C100">
        <v>20979</v>
      </c>
      <c r="D100" t="str">
        <f>VLOOKUP(C100,'Project Status'!C:H,6,FALSE)</f>
        <v>1025 16TH AVE S</v>
      </c>
      <c r="E100" t="str">
        <f>VLOOKUP(C100,'Project Status'!C:I,7,FALSE)</f>
        <v>1025 16th Avenue - Roof Replacement</v>
      </c>
      <c r="F100" t="str">
        <f>VLOOKUP(C100,'Project Status'!C:J,8,FALSE)</f>
        <v>Not Started</v>
      </c>
      <c r="G100" t="str">
        <f>VLOOKUP(C100,'Project Status'!C:K,9,FALSE)</f>
        <v>Ben Bedock</v>
      </c>
      <c r="H100" s="264"/>
      <c r="J100" s="155" t="str">
        <f>VLOOKUP(C100,'Project Status'!C:W,21,FALSE)</f>
        <v>TBD</v>
      </c>
      <c r="K100" s="156" t="str">
        <f>IF(J100="TBD",J100,SUM(I100:J100))</f>
        <v>TBD</v>
      </c>
      <c r="L100" s="53"/>
    </row>
    <row r="101" spans="1:13" x14ac:dyDescent="0.4">
      <c r="A101" s="265"/>
      <c r="H101" s="264"/>
      <c r="J101" s="155"/>
      <c r="K101" s="156"/>
      <c r="L101" s="53"/>
    </row>
    <row r="102" spans="1:13" x14ac:dyDescent="0.4">
      <c r="A102" s="265"/>
      <c r="H102" s="264"/>
      <c r="J102" s="155"/>
      <c r="K102" s="156"/>
      <c r="L102" s="53"/>
    </row>
    <row r="103" spans="1:13" x14ac:dyDescent="0.4">
      <c r="A103" s="265"/>
      <c r="H103" s="264"/>
      <c r="J103" s="155"/>
      <c r="K103" s="156"/>
      <c r="L103" s="53"/>
    </row>
    <row r="104" spans="1:13" x14ac:dyDescent="0.4">
      <c r="A104" s="265"/>
      <c r="H104" s="264"/>
      <c r="J104" s="155"/>
      <c r="K104" s="156"/>
      <c r="L104" s="53"/>
    </row>
    <row r="105" spans="1:13" x14ac:dyDescent="0.4">
      <c r="A105" s="265"/>
      <c r="H105" s="264"/>
      <c r="J105" s="155"/>
      <c r="K105" s="156"/>
      <c r="L105" s="53"/>
    </row>
    <row r="106" spans="1:13" x14ac:dyDescent="0.4">
      <c r="A106" s="265"/>
      <c r="H106" s="264"/>
      <c r="K106" s="148"/>
      <c r="L106" s="53"/>
    </row>
    <row r="107" spans="1:13" x14ac:dyDescent="0.4">
      <c r="A107" s="265"/>
      <c r="H107" s="264"/>
      <c r="K107" s="148"/>
      <c r="L107" s="53"/>
    </row>
    <row r="108" spans="1:13" x14ac:dyDescent="0.4">
      <c r="A108" s="265"/>
      <c r="H108" s="264"/>
      <c r="K108" s="148"/>
      <c r="L108" s="53"/>
    </row>
    <row r="109" spans="1:13" x14ac:dyDescent="0.4">
      <c r="A109" s="265"/>
      <c r="H109" s="264"/>
      <c r="K109" s="148"/>
      <c r="L109" s="53"/>
    </row>
    <row r="110" spans="1:13" x14ac:dyDescent="0.4">
      <c r="A110" s="265"/>
      <c r="H110" s="264"/>
      <c r="K110" s="148"/>
      <c r="L110" s="53"/>
    </row>
    <row r="111" spans="1:13" x14ac:dyDescent="0.4">
      <c r="A111" s="265"/>
      <c r="H111" s="264"/>
      <c r="K111" s="148"/>
      <c r="L111" s="53"/>
    </row>
    <row r="112" spans="1:13" x14ac:dyDescent="0.4">
      <c r="A112" s="265"/>
      <c r="H112" s="264"/>
      <c r="K112" s="148"/>
      <c r="L112" s="53"/>
    </row>
    <row r="113" spans="1:12" x14ac:dyDescent="0.4">
      <c r="A113" s="265"/>
      <c r="H113" s="264"/>
      <c r="K113" s="148"/>
      <c r="L113" s="53"/>
    </row>
    <row r="114" spans="1:12" x14ac:dyDescent="0.4">
      <c r="A114" s="265"/>
      <c r="H114" s="264"/>
      <c r="K114" s="148"/>
      <c r="L114" s="53"/>
    </row>
    <row r="115" spans="1:12" ht="14.7" customHeight="1" x14ac:dyDescent="0.4">
      <c r="A115" s="265"/>
      <c r="H115" s="264"/>
      <c r="K115" s="148"/>
      <c r="L115" s="53"/>
    </row>
    <row r="116" spans="1:12" x14ac:dyDescent="0.4">
      <c r="A116" s="265"/>
      <c r="H116" s="264"/>
      <c r="K116" s="148"/>
      <c r="L116" s="53"/>
    </row>
    <row r="117" spans="1:12" x14ac:dyDescent="0.4">
      <c r="H117" s="264"/>
      <c r="I117" s="183">
        <f t="shared" ref="I117" si="14">SUM(I96:I116)</f>
        <v>0</v>
      </c>
      <c r="J117" s="183">
        <f t="shared" ref="J117" si="15">SUM(J96:J116)</f>
        <v>5920000</v>
      </c>
      <c r="K117" s="183">
        <f>SUM(K96:K116)</f>
        <v>5920000</v>
      </c>
      <c r="L117" s="183">
        <f>H96-K117</f>
        <v>-5920000</v>
      </c>
    </row>
  </sheetData>
  <sortState xmlns:xlrd2="http://schemas.microsoft.com/office/spreadsheetml/2017/richdata2" ref="C78:C86">
    <sortCondition ref="C78:C86"/>
  </sortState>
  <mergeCells count="8">
    <mergeCell ref="H96:H117"/>
    <mergeCell ref="A95:A116"/>
    <mergeCell ref="H3:H32"/>
    <mergeCell ref="A2:A31"/>
    <mergeCell ref="A34:A74"/>
    <mergeCell ref="A77:A92"/>
    <mergeCell ref="H35:H75"/>
    <mergeCell ref="H78:H93"/>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269</v>
      </c>
    </row>
    <row r="3" spans="1:11" x14ac:dyDescent="0.4">
      <c r="A3" s="37" t="s">
        <v>125</v>
      </c>
      <c r="B3" s="36" t="s">
        <v>126</v>
      </c>
      <c r="C3" s="37" t="s">
        <v>127</v>
      </c>
      <c r="D3" s="38" t="s">
        <v>86</v>
      </c>
      <c r="E3" s="38" t="s">
        <v>87</v>
      </c>
      <c r="F3" s="37" t="s">
        <v>128</v>
      </c>
      <c r="G3" s="37" t="s">
        <v>129</v>
      </c>
      <c r="H3" s="39" t="s">
        <v>130</v>
      </c>
      <c r="I3" s="173" t="s">
        <v>300</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89">
        <f>VLOOKUP(A4,'Project Status'!C:M,11,FALSE)</f>
        <v>22000</v>
      </c>
      <c r="I4" s="174">
        <f>VLOOKUP(B4,'Project Status'!D:N,11,FALSE)</f>
        <v>17500</v>
      </c>
    </row>
    <row r="8" spans="1:11" x14ac:dyDescent="0.4">
      <c r="E8" s="41" t="s">
        <v>124</v>
      </c>
    </row>
    <row r="9" spans="1:11" x14ac:dyDescent="0.4">
      <c r="E9" s="22" t="s">
        <v>215</v>
      </c>
      <c r="F9" s="33" t="s">
        <v>146</v>
      </c>
      <c r="H9" s="42">
        <v>22000</v>
      </c>
      <c r="I9" s="42"/>
    </row>
    <row r="10" spans="1:11" x14ac:dyDescent="0.4">
      <c r="E10" s="22" t="s">
        <v>301</v>
      </c>
      <c r="F10" t="s">
        <v>302</v>
      </c>
      <c r="H10" s="43">
        <v>-4500</v>
      </c>
      <c r="I10" s="43"/>
    </row>
    <row r="18" spans="5:8" x14ac:dyDescent="0.4">
      <c r="E18" s="136" t="s">
        <v>264</v>
      </c>
      <c r="F18" s="137"/>
      <c r="G18" s="136"/>
      <c r="H18" s="138">
        <f>SUM(H9:H17)</f>
        <v>17500</v>
      </c>
    </row>
    <row r="20" spans="5:8" x14ac:dyDescent="0.4">
      <c r="E20" s="139" t="s">
        <v>136</v>
      </c>
      <c r="F20" s="139"/>
      <c r="G20" s="139"/>
      <c r="H20" s="140">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4</vt:i4>
      </vt:variant>
    </vt:vector>
  </HeadingPairs>
  <TitlesOfParts>
    <vt:vector size="65"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20857</vt:lpstr>
      <vt:lpstr>20884</vt:lpstr>
      <vt:lpstr>20885</vt:lpstr>
      <vt:lpstr>20911</vt:lpstr>
      <vt:lpstr>20912</vt:lpstr>
      <vt:lpstr>20913</vt:lpstr>
      <vt:lpstr>20922</vt:lpstr>
      <vt:lpstr>20924</vt:lpstr>
      <vt:lpstr>20936</vt:lpstr>
      <vt:lpstr>20945</vt:lpstr>
      <vt:lpstr>20958</vt:lpstr>
      <vt:lpstr>20982</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2024-08-06T13:03:37Z</cp:lastPrinted>
  <dcterms:created xsi:type="dcterms:W3CDTF">2021-08-31T18:33:23Z</dcterms:created>
  <dcterms:modified xsi:type="dcterms:W3CDTF">2024-08-06T13:03:55Z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