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746B439A-41AB-4216-9C98-79A453EFA1E6}" xr6:coauthVersionLast="47" xr6:coauthVersionMax="47" xr10:uidLastSave="{00000000-0000-0000-0000-000000000000}"/>
  <bookViews>
    <workbookView xWindow="28680" yWindow="-120" windowWidth="24240" windowHeight="13020" tabRatio="894" activeTab="7"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Summary_by Phase" sheetId="49" r:id="rId7"/>
    <sheet name="Project Status" sheetId="3" r:id="rId8"/>
    <sheet name="Summary_by FY" sheetId="41" r:id="rId9"/>
    <sheet name="10085" sheetId="24" state="hidden" r:id="rId10"/>
    <sheet name="10098" sheetId="10" state="hidden" r:id="rId11"/>
    <sheet name="10146" sheetId="29" r:id="rId12"/>
    <sheet name="20179" sheetId="12" r:id="rId13"/>
    <sheet name="20336" sheetId="15" state="hidden" r:id="rId14"/>
    <sheet name="20431" sheetId="20" r:id="rId15"/>
    <sheet name="20478" sheetId="34" r:id="rId16"/>
    <sheet name="20489" sheetId="35" r:id="rId17"/>
    <sheet name="20497" sheetId="13" state="hidden" r:id="rId18"/>
    <sheet name="20506" sheetId="38" state="hidden" r:id="rId19"/>
    <sheet name="20562" sheetId="32" state="hidden" r:id="rId20"/>
    <sheet name="20566" sheetId="14" state="hidden" r:id="rId21"/>
    <sheet name="20573" sheetId="36" state="hidden" r:id="rId22"/>
    <sheet name="20574" sheetId="21" state="hidden" r:id="rId23"/>
    <sheet name="20577" sheetId="16" r:id="rId24"/>
    <sheet name="20644" sheetId="31" state="hidden" r:id="rId25"/>
    <sheet name="20645" sheetId="46" r:id="rId26"/>
    <sheet name="20667" sheetId="19" r:id="rId27"/>
    <sheet name="20668" sheetId="22" r:id="rId28"/>
    <sheet name="20698" sheetId="27" r:id="rId29"/>
    <sheet name="20700" sheetId="30" state="hidden" r:id="rId30"/>
    <sheet name="20701" sheetId="39" r:id="rId31"/>
    <sheet name="20702" sheetId="26" state="hidden" r:id="rId32"/>
    <sheet name="20718" sheetId="44" r:id="rId33"/>
    <sheet name="20723" sheetId="37" r:id="rId34"/>
    <sheet name="20724" sheetId="33" r:id="rId35"/>
    <sheet name="20735" sheetId="42" r:id="rId36"/>
    <sheet name="20767" sheetId="60" r:id="rId37"/>
    <sheet name="20771" sheetId="40" state="hidden" r:id="rId38"/>
    <sheet name="20792" sheetId="45" state="hidden" r:id="rId39"/>
    <sheet name="20831" sheetId="51" state="hidden" r:id="rId40"/>
    <sheet name="20832" sheetId="50" state="hidden" r:id="rId41"/>
    <sheet name="20833" sheetId="52" state="hidden" r:id="rId42"/>
    <sheet name="20857" sheetId="53" r:id="rId43"/>
    <sheet name="20885" sheetId="58" r:id="rId44"/>
    <sheet name="20911" sheetId="56" r:id="rId45"/>
    <sheet name="20912" sheetId="55" r:id="rId46"/>
    <sheet name="20913" sheetId="57" r:id="rId47"/>
    <sheet name="20936" sheetId="61" r:id="rId48"/>
    <sheet name="20945" sheetId="59" r:id="rId49"/>
    <sheet name="JE LOG_FY23" sheetId="11" r:id="rId50"/>
    <sheet name="JE LOG_FY24" sheetId="48" r:id="rId51"/>
    <sheet name="lookup" sheetId="25" r:id="rId52"/>
    <sheet name="PUC GSF" sheetId="1" state="hidden" r:id="rId53"/>
    <sheet name="Notes" sheetId="6" state="hidden" r:id="rId54"/>
  </sheets>
  <definedNames>
    <definedName name="_xlnm._FilterDatabase" localSheetId="7" hidden="1">'Project Status'!$A$3:$P$55</definedName>
    <definedName name="JE">'10098'!$E$9:$H$12</definedName>
    <definedName name="list" localSheetId="50">'JE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55"/>
  </pivotCaches>
  <extLst>
    <ext xmlns:x14="http://schemas.microsoft.com/office/spreadsheetml/2009/9/main" uri="{BBE1A952-AA13-448e-AADC-164F8A28A991}">
      <x14:slicerCaches>
        <x14:slicerCache r:id="rId56"/>
        <x14:slicerCache r:id="rId57"/>
        <x14:slicerCache r:id="rId58"/>
        <x14:slicerCache r:id="rId5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8" i="3" l="1"/>
  <c r="G36" i="3"/>
  <c r="I57" i="41"/>
  <c r="J57" i="41"/>
  <c r="D57" i="41"/>
  <c r="E57" i="41"/>
  <c r="F57" i="41"/>
  <c r="G57" i="41"/>
  <c r="I54" i="41"/>
  <c r="J54" i="41"/>
  <c r="K54" i="41" s="1"/>
  <c r="D54" i="41"/>
  <c r="E54" i="41"/>
  <c r="F54" i="41"/>
  <c r="G54" i="41"/>
  <c r="D38" i="41"/>
  <c r="E38" i="41"/>
  <c r="F38" i="41"/>
  <c r="G38" i="41"/>
  <c r="I38" i="41"/>
  <c r="J38" i="41"/>
  <c r="K38" i="41" s="1"/>
  <c r="K57" i="41" l="1"/>
  <c r="G31" i="3"/>
  <c r="E7" i="17" l="1"/>
  <c r="F7" i="17"/>
  <c r="G7" i="17"/>
  <c r="E8" i="17"/>
  <c r="F8" i="17"/>
  <c r="G8" i="17"/>
  <c r="E9" i="17"/>
  <c r="F9" i="17"/>
  <c r="G9" i="17"/>
  <c r="E10" i="17"/>
  <c r="F10" i="17"/>
  <c r="G10" i="17"/>
  <c r="E11" i="17"/>
  <c r="F11" i="17"/>
  <c r="G11" i="17"/>
  <c r="E12" i="17"/>
  <c r="F12" i="17"/>
  <c r="G12" i="17"/>
  <c r="E13" i="17"/>
  <c r="F13" i="17"/>
  <c r="G13" i="17"/>
  <c r="E14" i="17"/>
  <c r="F14" i="17"/>
  <c r="G14" i="17"/>
  <c r="E15" i="17"/>
  <c r="F15" i="17"/>
  <c r="G15" i="17"/>
  <c r="E16" i="17"/>
  <c r="F16" i="17"/>
  <c r="G16" i="17"/>
  <c r="E17" i="17"/>
  <c r="F17" i="17"/>
  <c r="G17" i="17"/>
  <c r="E18" i="17"/>
  <c r="F18" i="17"/>
  <c r="G18" i="17"/>
  <c r="E19" i="17"/>
  <c r="F19" i="17"/>
  <c r="G19" i="17"/>
  <c r="E20" i="17"/>
  <c r="F20" i="17"/>
  <c r="G20" i="17"/>
  <c r="E21" i="17"/>
  <c r="F21" i="17"/>
  <c r="G21" i="17"/>
  <c r="E22" i="17"/>
  <c r="F22" i="17"/>
  <c r="G22" i="17"/>
  <c r="E23" i="17"/>
  <c r="F23" i="17"/>
  <c r="G23" i="17"/>
  <c r="E24" i="17"/>
  <c r="F24" i="17"/>
  <c r="G24" i="17"/>
  <c r="E25" i="17"/>
  <c r="F25" i="17"/>
  <c r="G25" i="17"/>
  <c r="E26" i="17"/>
  <c r="F26" i="17"/>
  <c r="G26" i="17"/>
  <c r="E27" i="17"/>
  <c r="F27" i="17"/>
  <c r="G27" i="17"/>
  <c r="E28" i="17"/>
  <c r="F28" i="17"/>
  <c r="G28" i="17"/>
  <c r="E29" i="17"/>
  <c r="F29" i="17"/>
  <c r="G29" i="17"/>
  <c r="E30" i="17"/>
  <c r="F30" i="17"/>
  <c r="G30" i="17"/>
  <c r="E31" i="17"/>
  <c r="F31" i="17"/>
  <c r="G31" i="17"/>
  <c r="E32" i="17"/>
  <c r="F32" i="17"/>
  <c r="G32" i="17"/>
  <c r="E33" i="17"/>
  <c r="F33" i="17"/>
  <c r="G33" i="17"/>
  <c r="E34" i="17"/>
  <c r="F34" i="17"/>
  <c r="G34" i="17"/>
  <c r="E35" i="17"/>
  <c r="F35" i="17"/>
  <c r="G35" i="17"/>
  <c r="E36" i="17"/>
  <c r="F36" i="17"/>
  <c r="G36" i="17"/>
  <c r="E37" i="17"/>
  <c r="F37" i="17"/>
  <c r="G37" i="17"/>
  <c r="D38" i="17"/>
  <c r="E38" i="17"/>
  <c r="F38" i="17"/>
  <c r="G38" i="17"/>
  <c r="E39" i="17"/>
  <c r="F39" i="17"/>
  <c r="G39" i="17"/>
  <c r="E40" i="17"/>
  <c r="F40" i="17"/>
  <c r="G40" i="17"/>
  <c r="E41" i="17"/>
  <c r="F41" i="17"/>
  <c r="G41" i="17"/>
  <c r="E42" i="17"/>
  <c r="F42" i="17"/>
  <c r="G42" i="17"/>
  <c r="E43" i="17"/>
  <c r="F43" i="17"/>
  <c r="G43" i="17"/>
  <c r="E44" i="17"/>
  <c r="F44" i="17"/>
  <c r="G44" i="17"/>
  <c r="E45" i="17"/>
  <c r="F45" i="17"/>
  <c r="G45" i="17"/>
  <c r="E46" i="17"/>
  <c r="F46" i="17"/>
  <c r="G46" i="17"/>
  <c r="E47" i="17"/>
  <c r="F47" i="17"/>
  <c r="G47" i="17"/>
  <c r="E48" i="17"/>
  <c r="F48" i="17"/>
  <c r="G48" i="17"/>
  <c r="E49" i="17"/>
  <c r="F49" i="17"/>
  <c r="G49" i="17"/>
  <c r="E50" i="17"/>
  <c r="F50" i="17"/>
  <c r="G50" i="17"/>
  <c r="E51" i="17"/>
  <c r="F51" i="17"/>
  <c r="G51" i="17"/>
  <c r="E52" i="17"/>
  <c r="F52" i="17"/>
  <c r="G52" i="17"/>
  <c r="E53" i="17"/>
  <c r="F53" i="17"/>
  <c r="G53" i="17"/>
  <c r="D54" i="17"/>
  <c r="E54" i="17"/>
  <c r="F54" i="17"/>
  <c r="G54" i="17"/>
  <c r="E55" i="17"/>
  <c r="F55" i="17"/>
  <c r="G55" i="17"/>
  <c r="E56" i="17"/>
  <c r="F56" i="17"/>
  <c r="G56" i="17"/>
  <c r="A52" i="17"/>
  <c r="A53" i="17"/>
  <c r="A54" i="17"/>
  <c r="A55" i="17" s="1"/>
  <c r="A56" i="17" s="1"/>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6" i="17"/>
  <c r="R68" i="3"/>
  <c r="U31" i="3"/>
  <c r="H33" i="17" s="1"/>
  <c r="U32" i="3"/>
  <c r="H34" i="17" s="1"/>
  <c r="U33" i="3"/>
  <c r="H35" i="17" s="1"/>
  <c r="U34" i="3"/>
  <c r="H36" i="17" s="1"/>
  <c r="U36" i="3"/>
  <c r="H38" i="17" s="1"/>
  <c r="U40" i="3"/>
  <c r="H42" i="17" s="1"/>
  <c r="U42" i="3"/>
  <c r="H44" i="17" s="1"/>
  <c r="U47" i="3"/>
  <c r="H49" i="17" s="1"/>
  <c r="U48" i="3"/>
  <c r="H50" i="17" s="1"/>
  <c r="U49" i="3"/>
  <c r="H51" i="17" s="1"/>
  <c r="U50" i="3"/>
  <c r="H52" i="17" s="1"/>
  <c r="U51" i="3"/>
  <c r="H53" i="17" s="1"/>
  <c r="U53" i="3"/>
  <c r="H55" i="17" s="1"/>
  <c r="U54" i="3"/>
  <c r="H56" i="17" s="1"/>
  <c r="J86" i="41"/>
  <c r="K86" i="41" s="1"/>
  <c r="D86" i="41"/>
  <c r="E86" i="41"/>
  <c r="F86" i="41"/>
  <c r="G86" i="41"/>
  <c r="I56" i="41"/>
  <c r="J56" i="41"/>
  <c r="D56" i="41"/>
  <c r="E56" i="41"/>
  <c r="F56" i="41"/>
  <c r="G56" i="41"/>
  <c r="I48" i="41"/>
  <c r="J48" i="41"/>
  <c r="D48" i="41"/>
  <c r="E48" i="41"/>
  <c r="F48" i="41"/>
  <c r="G48" i="41"/>
  <c r="G54" i="3"/>
  <c r="D56" i="17" s="1"/>
  <c r="G53" i="3"/>
  <c r="D55" i="17" s="1"/>
  <c r="Y54" i="3"/>
  <c r="Y53" i="3"/>
  <c r="Y52" i="3"/>
  <c r="Y51" i="3"/>
  <c r="Y50" i="3"/>
  <c r="Y49" i="3"/>
  <c r="Y48" i="3"/>
  <c r="Y47" i="3"/>
  <c r="Y46" i="3"/>
  <c r="Y45" i="3"/>
  <c r="Y44" i="3"/>
  <c r="Y43" i="3"/>
  <c r="Y41" i="3"/>
  <c r="Y42"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Y4" i="3"/>
  <c r="G42" i="3"/>
  <c r="D44" i="17" s="1"/>
  <c r="H18" i="61"/>
  <c r="H4" i="61"/>
  <c r="G4" i="61"/>
  <c r="F4" i="61"/>
  <c r="E4" i="61"/>
  <c r="D4" i="61"/>
  <c r="C4" i="61"/>
  <c r="B4" i="61"/>
  <c r="J36" i="41"/>
  <c r="J37" i="41"/>
  <c r="J39" i="41"/>
  <c r="J40" i="41"/>
  <c r="J41" i="41"/>
  <c r="J42" i="41"/>
  <c r="J43" i="41"/>
  <c r="J44" i="41"/>
  <c r="J45" i="41"/>
  <c r="J46" i="41"/>
  <c r="J47" i="41"/>
  <c r="I49" i="41"/>
  <c r="J49" i="41"/>
  <c r="J50" i="41"/>
  <c r="J51" i="41"/>
  <c r="J52" i="41"/>
  <c r="J53" i="41"/>
  <c r="J55" i="41"/>
  <c r="J35" i="41"/>
  <c r="D39" i="41"/>
  <c r="E39" i="41"/>
  <c r="F39" i="41"/>
  <c r="G39" i="41"/>
  <c r="J65" i="41"/>
  <c r="J66" i="41"/>
  <c r="J67" i="41"/>
  <c r="J68" i="41"/>
  <c r="J69" i="41"/>
  <c r="J70" i="41"/>
  <c r="J71" i="41"/>
  <c r="S20" i="3"/>
  <c r="I71" i="41" s="1"/>
  <c r="R20" i="3"/>
  <c r="S18" i="3"/>
  <c r="I70" i="41" s="1"/>
  <c r="R18" i="3"/>
  <c r="S17" i="3"/>
  <c r="I69" i="41" s="1"/>
  <c r="R17" i="3"/>
  <c r="S8" i="3"/>
  <c r="I67" i="41" s="1"/>
  <c r="S14" i="3"/>
  <c r="I68" i="41" s="1"/>
  <c r="R14" i="3"/>
  <c r="R8" i="3"/>
  <c r="K48" i="41" l="1"/>
  <c r="K56" i="41"/>
  <c r="H20" i="61"/>
  <c r="K49" i="41"/>
  <c r="K70" i="41"/>
  <c r="K71" i="41"/>
  <c r="K69" i="41"/>
  <c r="K68" i="41"/>
  <c r="K67" i="41"/>
  <c r="D67" i="41" l="1"/>
  <c r="E67" i="41"/>
  <c r="F67" i="41"/>
  <c r="G67" i="41"/>
  <c r="D68" i="41"/>
  <c r="E68" i="41"/>
  <c r="F68" i="41"/>
  <c r="G68" i="41"/>
  <c r="D69" i="41"/>
  <c r="E69" i="41"/>
  <c r="F69" i="41"/>
  <c r="G69" i="41"/>
  <c r="D70" i="41"/>
  <c r="E70" i="41"/>
  <c r="F70" i="41"/>
  <c r="G70" i="41"/>
  <c r="D71" i="41"/>
  <c r="E71" i="41"/>
  <c r="F71" i="41"/>
  <c r="G71" i="41"/>
  <c r="S32" i="3"/>
  <c r="I43" i="41" s="1"/>
  <c r="K43" i="41" s="1"/>
  <c r="S41" i="3"/>
  <c r="S52" i="3"/>
  <c r="S46" i="3"/>
  <c r="S45" i="3"/>
  <c r="S44" i="3"/>
  <c r="I51" i="41" s="1"/>
  <c r="K51" i="41" s="1"/>
  <c r="S68" i="48"/>
  <c r="S67" i="48"/>
  <c r="R67" i="48"/>
  <c r="H18" i="60"/>
  <c r="H4" i="60"/>
  <c r="H20" i="60" s="1"/>
  <c r="G4" i="60"/>
  <c r="F4" i="60"/>
  <c r="E4" i="60"/>
  <c r="D4" i="60"/>
  <c r="C4" i="60"/>
  <c r="B4" i="60"/>
  <c r="I4" i="60" s="1"/>
  <c r="H18" i="59"/>
  <c r="H4" i="59"/>
  <c r="G4" i="59"/>
  <c r="F4" i="59"/>
  <c r="E4" i="59"/>
  <c r="D4" i="59"/>
  <c r="C4" i="59"/>
  <c r="B4" i="59"/>
  <c r="J85" i="41"/>
  <c r="K85" i="41" s="1"/>
  <c r="D85" i="41"/>
  <c r="E85" i="41"/>
  <c r="F85" i="41"/>
  <c r="G85" i="41"/>
  <c r="K16" i="34"/>
  <c r="J16" i="34"/>
  <c r="R57" i="48"/>
  <c r="S52" i="48"/>
  <c r="S57" i="48" s="1"/>
  <c r="S58" i="48" s="1"/>
  <c r="J64" i="41"/>
  <c r="J63" i="41"/>
  <c r="J62" i="41"/>
  <c r="J61" i="41"/>
  <c r="J60" i="41"/>
  <c r="S35" i="3"/>
  <c r="R35" i="3"/>
  <c r="H18" i="45"/>
  <c r="S27" i="3"/>
  <c r="I65" i="41" s="1"/>
  <c r="K65" i="41" s="1"/>
  <c r="R27" i="3"/>
  <c r="D65" i="41"/>
  <c r="E65" i="41"/>
  <c r="F65" i="41"/>
  <c r="G65" i="41"/>
  <c r="D66" i="41"/>
  <c r="E66" i="41"/>
  <c r="F66" i="41"/>
  <c r="G66" i="41"/>
  <c r="D64" i="41"/>
  <c r="E64" i="41"/>
  <c r="F64" i="41"/>
  <c r="G64" i="41"/>
  <c r="D60" i="41"/>
  <c r="E60" i="41"/>
  <c r="F60" i="41"/>
  <c r="G60" i="41"/>
  <c r="D61" i="41"/>
  <c r="E61" i="41"/>
  <c r="F61" i="41"/>
  <c r="G61" i="41"/>
  <c r="D62" i="41"/>
  <c r="E62" i="41"/>
  <c r="F62" i="41"/>
  <c r="G62" i="41"/>
  <c r="D63" i="41"/>
  <c r="E63" i="41"/>
  <c r="F63" i="41"/>
  <c r="G63" i="41"/>
  <c r="S16" i="3"/>
  <c r="I63" i="41" s="1"/>
  <c r="R16" i="3"/>
  <c r="H18" i="14"/>
  <c r="J81" i="41"/>
  <c r="K81" i="41" s="1"/>
  <c r="J82" i="41"/>
  <c r="K82" i="41" s="1"/>
  <c r="J83" i="41"/>
  <c r="K83" i="41" s="1"/>
  <c r="J84" i="41"/>
  <c r="K84" i="41" s="1"/>
  <c r="D81" i="41"/>
  <c r="E81" i="41"/>
  <c r="F81" i="41"/>
  <c r="G81" i="41"/>
  <c r="D82" i="41"/>
  <c r="E82" i="41"/>
  <c r="F82" i="41"/>
  <c r="G82" i="41"/>
  <c r="D83" i="41"/>
  <c r="E83" i="41"/>
  <c r="F83" i="41"/>
  <c r="G83" i="41"/>
  <c r="D84" i="41"/>
  <c r="E84" i="41"/>
  <c r="F84" i="41"/>
  <c r="G84" i="41"/>
  <c r="G47" i="3"/>
  <c r="D49" i="17" s="1"/>
  <c r="G48" i="3"/>
  <c r="D50" i="17" s="1"/>
  <c r="G49" i="3"/>
  <c r="D51" i="17" s="1"/>
  <c r="G50" i="3"/>
  <c r="D52" i="17" s="1"/>
  <c r="G51" i="3"/>
  <c r="D53" i="17" s="1"/>
  <c r="S43" i="3"/>
  <c r="H18" i="58"/>
  <c r="H4" i="58"/>
  <c r="G4" i="58"/>
  <c r="F4" i="58"/>
  <c r="E4" i="58"/>
  <c r="D4" i="58"/>
  <c r="C4" i="58"/>
  <c r="B4" i="58"/>
  <c r="D55" i="41"/>
  <c r="E55" i="41"/>
  <c r="F55" i="41"/>
  <c r="G55" i="41"/>
  <c r="J80" i="41"/>
  <c r="K80" i="41" s="1"/>
  <c r="D80" i="41"/>
  <c r="E80" i="41"/>
  <c r="F80" i="41"/>
  <c r="G80" i="41"/>
  <c r="U7" i="3"/>
  <c r="H9" i="17" s="1"/>
  <c r="U8" i="3"/>
  <c r="H10" i="17" s="1"/>
  <c r="U11" i="3"/>
  <c r="H13" i="17" s="1"/>
  <c r="U14" i="3"/>
  <c r="H16" i="17" s="1"/>
  <c r="U15" i="3"/>
  <c r="H17" i="17" s="1"/>
  <c r="U17" i="3"/>
  <c r="H19" i="17" s="1"/>
  <c r="U18" i="3"/>
  <c r="H20" i="17" s="1"/>
  <c r="U19" i="3"/>
  <c r="H21" i="17" s="1"/>
  <c r="U20" i="3"/>
  <c r="H22" i="17" s="1"/>
  <c r="U21" i="3"/>
  <c r="H23" i="17" s="1"/>
  <c r="U22" i="3"/>
  <c r="H24" i="17" s="1"/>
  <c r="U26" i="3"/>
  <c r="H28" i="17" s="1"/>
  <c r="U28" i="3"/>
  <c r="H30" i="17" s="1"/>
  <c r="U29" i="3"/>
  <c r="H31" i="17" s="1"/>
  <c r="I53" i="41" l="1"/>
  <c r="K53" i="41" s="1"/>
  <c r="U46" i="3"/>
  <c r="H48" i="17" s="1"/>
  <c r="I55" i="41"/>
  <c r="K55" i="41" s="1"/>
  <c r="U52" i="3"/>
  <c r="H54" i="17" s="1"/>
  <c r="I50" i="41"/>
  <c r="K50" i="41" s="1"/>
  <c r="U43" i="3"/>
  <c r="H45" i="17" s="1"/>
  <c r="I66" i="41"/>
  <c r="K66" i="41" s="1"/>
  <c r="U35" i="3"/>
  <c r="H37" i="17" s="1"/>
  <c r="I47" i="41"/>
  <c r="K47" i="41" s="1"/>
  <c r="U41" i="3"/>
  <c r="H43" i="17" s="1"/>
  <c r="I52" i="41"/>
  <c r="K52" i="41" s="1"/>
  <c r="U45" i="3"/>
  <c r="H47" i="17" s="1"/>
  <c r="U16" i="3"/>
  <c r="H18" i="17" s="1"/>
  <c r="U27" i="3"/>
  <c r="H29" i="17" s="1"/>
  <c r="K63" i="41"/>
  <c r="T57" i="48"/>
  <c r="T67" i="48"/>
  <c r="H20" i="59"/>
  <c r="H20" i="58"/>
  <c r="U44" i="3"/>
  <c r="H46" i="17" s="1"/>
  <c r="D51" i="41"/>
  <c r="E51" i="41"/>
  <c r="F51" i="41"/>
  <c r="G51" i="41"/>
  <c r="D52" i="41"/>
  <c r="E52" i="41"/>
  <c r="F52" i="41"/>
  <c r="G52" i="41"/>
  <c r="D53" i="41"/>
  <c r="E53" i="41"/>
  <c r="F53" i="41"/>
  <c r="G53" i="41"/>
  <c r="V55" i="3"/>
  <c r="Q55" i="3"/>
  <c r="P55" i="3"/>
  <c r="O55" i="3"/>
  <c r="N55" i="3"/>
  <c r="M55" i="3"/>
  <c r="L55" i="3"/>
  <c r="H18" i="57"/>
  <c r="H4" i="57"/>
  <c r="H20" i="57" s="1"/>
  <c r="G4" i="57"/>
  <c r="F4" i="57"/>
  <c r="E4" i="57"/>
  <c r="D4" i="57"/>
  <c r="C4" i="57"/>
  <c r="B4" i="57"/>
  <c r="H18" i="56"/>
  <c r="H4" i="56"/>
  <c r="G4" i="56"/>
  <c r="F4" i="56"/>
  <c r="E4" i="56"/>
  <c r="D4" i="56"/>
  <c r="C4" i="56"/>
  <c r="B4" i="56"/>
  <c r="H18" i="55"/>
  <c r="H4" i="55"/>
  <c r="G4" i="55"/>
  <c r="F4" i="55"/>
  <c r="E4" i="55"/>
  <c r="D4" i="55"/>
  <c r="C4" i="55"/>
  <c r="B4" i="55"/>
  <c r="S48" i="48"/>
  <c r="S37" i="48"/>
  <c r="S38" i="48" s="1"/>
  <c r="R37" i="48"/>
  <c r="S30" i="48"/>
  <c r="S31" i="48" s="1"/>
  <c r="R30" i="48"/>
  <c r="S47" i="48"/>
  <c r="R47" i="48"/>
  <c r="T47" i="48" l="1"/>
  <c r="H20" i="56"/>
  <c r="H20" i="55"/>
  <c r="S5" i="3"/>
  <c r="S24" i="3"/>
  <c r="S6" i="3"/>
  <c r="H18" i="10"/>
  <c r="B4" i="52"/>
  <c r="I4" i="52" s="1"/>
  <c r="H15" i="29"/>
  <c r="G44" i="3"/>
  <c r="D46" i="17" s="1"/>
  <c r="G45" i="3"/>
  <c r="D47" i="17" s="1"/>
  <c r="G46" i="3"/>
  <c r="D48" i="17" s="1"/>
  <c r="G43" i="3"/>
  <c r="D45" i="17" s="1"/>
  <c r="G41" i="3"/>
  <c r="D43" i="17" s="1"/>
  <c r="G40" i="3"/>
  <c r="D42" i="17" s="1"/>
  <c r="R24" i="3"/>
  <c r="U24" i="3" l="1"/>
  <c r="H26" i="17" s="1"/>
  <c r="I40" i="41"/>
  <c r="K40" i="41" s="1"/>
  <c r="U6" i="3"/>
  <c r="H8" i="17" s="1"/>
  <c r="I35" i="41"/>
  <c r="K35" i="41" s="1"/>
  <c r="I60" i="41"/>
  <c r="K60" i="41" s="1"/>
  <c r="J98" i="41"/>
  <c r="K98" i="41" s="1"/>
  <c r="D98" i="41"/>
  <c r="E98" i="41"/>
  <c r="F98" i="41"/>
  <c r="G98" i="41"/>
  <c r="H4" i="33"/>
  <c r="S30" i="3"/>
  <c r="R30" i="3"/>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D49" i="41"/>
  <c r="E49" i="41"/>
  <c r="F49" i="41"/>
  <c r="G49" i="41"/>
  <c r="D50" i="41"/>
  <c r="E50" i="41"/>
  <c r="F50" i="41"/>
  <c r="G50" i="41"/>
  <c r="D79" i="41"/>
  <c r="E79" i="41"/>
  <c r="F79" i="41"/>
  <c r="G79" i="41"/>
  <c r="J79" i="41"/>
  <c r="K79" i="41" s="1"/>
  <c r="D97" i="41"/>
  <c r="E97" i="41"/>
  <c r="F97" i="41"/>
  <c r="G97" i="41"/>
  <c r="J97" i="41"/>
  <c r="K97" i="41" s="1"/>
  <c r="H17" i="20"/>
  <c r="S33" i="3"/>
  <c r="R33" i="3"/>
  <c r="R31" i="3"/>
  <c r="R29" i="3"/>
  <c r="R28" i="3"/>
  <c r="R26" i="3"/>
  <c r="R25" i="3"/>
  <c r="S23" i="3"/>
  <c r="R23" i="3"/>
  <c r="R22" i="3"/>
  <c r="R21" i="3"/>
  <c r="R19" i="3"/>
  <c r="S13" i="3"/>
  <c r="R13" i="3"/>
  <c r="S12" i="3"/>
  <c r="R12" i="3"/>
  <c r="R11" i="3"/>
  <c r="R10" i="3"/>
  <c r="R9" i="3"/>
  <c r="R7" i="3"/>
  <c r="R6" i="3"/>
  <c r="R5" i="3"/>
  <c r="R4" i="3"/>
  <c r="H18" i="40"/>
  <c r="H18" i="38"/>
  <c r="H18" i="13"/>
  <c r="H18" i="24"/>
  <c r="U30" i="3" l="1"/>
  <c r="H32" i="17" s="1"/>
  <c r="I42" i="41"/>
  <c r="K42" i="41" s="1"/>
  <c r="U23" i="3"/>
  <c r="H25" i="17" s="1"/>
  <c r="I39" i="41"/>
  <c r="K39" i="41" s="1"/>
  <c r="U13" i="3"/>
  <c r="H15" i="17" s="1"/>
  <c r="I62" i="41"/>
  <c r="K62" i="41" s="1"/>
  <c r="I64" i="41"/>
  <c r="K64" i="41" s="1"/>
  <c r="U12" i="3"/>
  <c r="H14" i="17" s="1"/>
  <c r="I61" i="41"/>
  <c r="K61" i="41" s="1"/>
  <c r="G6" i="17"/>
  <c r="G57" i="17" s="1"/>
  <c r="D78" i="41"/>
  <c r="E78" i="41"/>
  <c r="F78" i="41"/>
  <c r="G78" i="41"/>
  <c r="H18" i="53"/>
  <c r="H4" i="53"/>
  <c r="G4" i="53"/>
  <c r="F4" i="53"/>
  <c r="E4" i="53"/>
  <c r="D4" i="53"/>
  <c r="C4" i="53"/>
  <c r="B4" i="53"/>
  <c r="D40" i="41"/>
  <c r="E40" i="41"/>
  <c r="F40" i="41"/>
  <c r="G40" i="41"/>
  <c r="W11" i="3"/>
  <c r="W55" i="3" s="1"/>
  <c r="I117" i="41"/>
  <c r="H96" i="41"/>
  <c r="G96" i="41"/>
  <c r="F96" i="41"/>
  <c r="E96" i="41"/>
  <c r="D96" i="41"/>
  <c r="T55" i="3" l="1"/>
  <c r="J96" i="41"/>
  <c r="J117" i="41" s="1"/>
  <c r="J78" i="41"/>
  <c r="K78" i="41" s="1"/>
  <c r="H20" i="53"/>
  <c r="H20" i="20"/>
  <c r="J77" i="41"/>
  <c r="J76" i="41"/>
  <c r="I17" i="41"/>
  <c r="I19" i="41"/>
  <c r="I20" i="41"/>
  <c r="I21" i="41"/>
  <c r="I23" i="41"/>
  <c r="I24" i="41"/>
  <c r="I26" i="41"/>
  <c r="I27" i="41"/>
  <c r="I29" i="41"/>
  <c r="I30" i="41"/>
  <c r="I4" i="41"/>
  <c r="I5" i="41"/>
  <c r="I6" i="41"/>
  <c r="I8" i="41"/>
  <c r="I9" i="41"/>
  <c r="I10" i="41"/>
  <c r="I11" i="41"/>
  <c r="I12" i="41"/>
  <c r="I13" i="41"/>
  <c r="I3" i="41"/>
  <c r="K96" i="41" l="1"/>
  <c r="K117" i="41" s="1"/>
  <c r="L117" i="41" s="1"/>
  <c r="D42" i="41" l="1"/>
  <c r="E42" i="41"/>
  <c r="F42" i="41"/>
  <c r="G42" i="41"/>
  <c r="D37" i="41"/>
  <c r="E37" i="41"/>
  <c r="F37" i="41"/>
  <c r="G37" i="41"/>
  <c r="D44" i="41"/>
  <c r="E44" i="41"/>
  <c r="F44" i="41"/>
  <c r="G44" i="41"/>
  <c r="D45" i="41"/>
  <c r="E45" i="41"/>
  <c r="F45" i="41"/>
  <c r="G45" i="41"/>
  <c r="D46" i="41"/>
  <c r="E46" i="41"/>
  <c r="F46" i="41"/>
  <c r="G46" i="41"/>
  <c r="D41" i="41"/>
  <c r="E41" i="41"/>
  <c r="F41" i="41"/>
  <c r="G41" i="41"/>
  <c r="D43" i="41"/>
  <c r="E43" i="41"/>
  <c r="F43" i="41"/>
  <c r="G43" i="41"/>
  <c r="D47" i="41"/>
  <c r="E47" i="41"/>
  <c r="F47" i="41"/>
  <c r="G47" i="41"/>
  <c r="D35" i="41"/>
  <c r="E35" i="41"/>
  <c r="F35" i="41"/>
  <c r="G35" i="41"/>
  <c r="D36" i="41"/>
  <c r="U59" i="3"/>
  <c r="S25" i="3"/>
  <c r="I41" i="41" s="1"/>
  <c r="K41" i="41" s="1"/>
  <c r="U25" i="3" l="1"/>
  <c r="H27" i="17" s="1"/>
  <c r="S9" i="3"/>
  <c r="S38" i="3"/>
  <c r="U38" i="3" s="1"/>
  <c r="H40" i="17" s="1"/>
  <c r="S37" i="3"/>
  <c r="U37" i="3" s="1"/>
  <c r="H39" i="17" s="1"/>
  <c r="S39" i="3"/>
  <c r="U39" i="3" s="1"/>
  <c r="H41" i="17" s="1"/>
  <c r="H18" i="52"/>
  <c r="H4" i="52"/>
  <c r="H20" i="52" s="1"/>
  <c r="G4" i="52"/>
  <c r="F4" i="52"/>
  <c r="E4" i="52"/>
  <c r="D4" i="52"/>
  <c r="C4" i="52"/>
  <c r="H18" i="51"/>
  <c r="H4" i="51"/>
  <c r="H20" i="51" s="1"/>
  <c r="G4" i="51"/>
  <c r="F4" i="51"/>
  <c r="E4" i="51"/>
  <c r="D4" i="51"/>
  <c r="C4" i="51"/>
  <c r="B4" i="51"/>
  <c r="I4" i="51" s="1"/>
  <c r="H76" i="41"/>
  <c r="K6" i="7"/>
  <c r="K7" i="7"/>
  <c r="K8" i="7"/>
  <c r="K9" i="7"/>
  <c r="K10" i="7"/>
  <c r="K11" i="7"/>
  <c r="K12" i="7"/>
  <c r="K13" i="7"/>
  <c r="K5" i="7"/>
  <c r="I46" i="41" l="1"/>
  <c r="K46" i="41" s="1"/>
  <c r="I45" i="41"/>
  <c r="K45" i="41" s="1"/>
  <c r="I44" i="41"/>
  <c r="K44" i="41" s="1"/>
  <c r="I36" i="41"/>
  <c r="K36" i="41" s="1"/>
  <c r="U9" i="3"/>
  <c r="H11" i="17" s="1"/>
  <c r="K18" i="7"/>
  <c r="J14" i="7"/>
  <c r="G5" i="7"/>
  <c r="G6" i="7"/>
  <c r="G14" i="7" s="1"/>
  <c r="G7" i="7"/>
  <c r="G8" i="7"/>
  <c r="G9" i="7"/>
  <c r="G10" i="7"/>
  <c r="G11" i="7"/>
  <c r="G12" i="7"/>
  <c r="G13" i="7"/>
  <c r="F14" i="7"/>
  <c r="H18" i="50"/>
  <c r="H4" i="50"/>
  <c r="H20" i="50" s="1"/>
  <c r="G4" i="50"/>
  <c r="F4" i="50"/>
  <c r="E4" i="50"/>
  <c r="D4" i="50"/>
  <c r="C4" i="50"/>
  <c r="B4" i="50"/>
  <c r="I4" i="50" s="1"/>
  <c r="G37" i="3"/>
  <c r="D39" i="17" s="1"/>
  <c r="G38" i="3"/>
  <c r="D40" i="17" s="1"/>
  <c r="G39" i="3"/>
  <c r="D41" i="17" s="1"/>
  <c r="S10" i="3"/>
  <c r="I37" i="41" s="1"/>
  <c r="K37" i="41" s="1"/>
  <c r="S55" i="3" l="1"/>
  <c r="U10" i="3"/>
  <c r="H12" i="17" s="1"/>
  <c r="K14" i="7"/>
  <c r="K17" i="7" s="1"/>
  <c r="K19" i="7" s="1"/>
  <c r="H35" i="41"/>
  <c r="G17" i="7"/>
  <c r="C4" i="48"/>
  <c r="C5" i="48" s="1"/>
  <c r="I73" i="41" l="1"/>
  <c r="U64" i="3"/>
  <c r="H18" i="44"/>
  <c r="H13" i="44"/>
  <c r="U5" i="3" l="1"/>
  <c r="H7" i="17" s="1"/>
  <c r="U4" i="3"/>
  <c r="E77" i="41"/>
  <c r="E76" i="41"/>
  <c r="E36" i="41"/>
  <c r="F77" i="41"/>
  <c r="F76" i="41"/>
  <c r="F36" i="41"/>
  <c r="G77" i="41"/>
  <c r="G7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K76" i="41"/>
  <c r="I93" i="41"/>
  <c r="D77" i="41"/>
  <c r="D76" i="41"/>
  <c r="H6" i="17" l="1"/>
  <c r="H57" i="17" s="1"/>
  <c r="U55" i="3"/>
  <c r="K77"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3" i="41" l="1"/>
  <c r="L93" i="41" s="1"/>
  <c r="J93" i="41"/>
  <c r="K19" i="41"/>
  <c r="K9" i="41"/>
  <c r="H18" i="46"/>
  <c r="H4" i="46"/>
  <c r="G4" i="46"/>
  <c r="F4" i="46"/>
  <c r="E4" i="46"/>
  <c r="D4" i="46"/>
  <c r="C4" i="46"/>
  <c r="B4" i="46"/>
  <c r="I4" i="46" s="1"/>
  <c r="H4" i="45"/>
  <c r="G4" i="45"/>
  <c r="F4" i="45"/>
  <c r="E4" i="45"/>
  <c r="D4" i="45"/>
  <c r="C4" i="45"/>
  <c r="B4" i="45"/>
  <c r="I4" i="45" s="1"/>
  <c r="H20" i="45" s="1"/>
  <c r="H4" i="44"/>
  <c r="H20" i="44" s="1"/>
  <c r="G4" i="44"/>
  <c r="F4" i="44"/>
  <c r="E4" i="44"/>
  <c r="D4" i="44"/>
  <c r="C4" i="44"/>
  <c r="B4" i="44"/>
  <c r="I4" i="44" s="1"/>
  <c r="G35" i="3"/>
  <c r="D37" i="17" s="1"/>
  <c r="H18" i="42"/>
  <c r="H4" i="42"/>
  <c r="G4" i="42"/>
  <c r="F4" i="42"/>
  <c r="E4" i="42"/>
  <c r="D4" i="42"/>
  <c r="C4" i="42"/>
  <c r="B4" i="42"/>
  <c r="I4" i="42" s="1"/>
  <c r="I31" i="41" l="1"/>
  <c r="K31" i="41" s="1"/>
  <c r="K26" i="41"/>
  <c r="K29" i="41"/>
  <c r="H20" i="46"/>
  <c r="H20" i="42"/>
  <c r="G15" i="3"/>
  <c r="D17" i="17" s="1"/>
  <c r="H11" i="29"/>
  <c r="H18" i="39"/>
  <c r="H18" i="33"/>
  <c r="H18" i="37"/>
  <c r="H18" i="26"/>
  <c r="H18" i="30"/>
  <c r="H18" i="27"/>
  <c r="H18" i="22"/>
  <c r="H18" i="19"/>
  <c r="H18" i="31"/>
  <c r="H18" i="16"/>
  <c r="H18" i="21"/>
  <c r="H18" i="36"/>
  <c r="H18" i="32"/>
  <c r="H18" i="35"/>
  <c r="H18" i="15"/>
  <c r="H18" i="12"/>
  <c r="G29" i="3"/>
  <c r="D31" i="17" s="1"/>
  <c r="G30" i="3"/>
  <c r="D32" i="17" s="1"/>
  <c r="D33" i="17"/>
  <c r="G32" i="3"/>
  <c r="D34" i="17" s="1"/>
  <c r="G33" i="3"/>
  <c r="D35" i="17" s="1"/>
  <c r="G34" i="3"/>
  <c r="D36" i="17" s="1"/>
  <c r="H4" i="40"/>
  <c r="G4" i="40"/>
  <c r="F4" i="40"/>
  <c r="E4" i="40"/>
  <c r="D4" i="40"/>
  <c r="C4" i="40"/>
  <c r="B4" i="40"/>
  <c r="I4" i="40" s="1"/>
  <c r="H20" i="40" s="1"/>
  <c r="H4" i="39"/>
  <c r="H20" i="39" s="1"/>
  <c r="G4" i="39"/>
  <c r="F4" i="39"/>
  <c r="E4" i="39"/>
  <c r="D4" i="39"/>
  <c r="C4" i="39"/>
  <c r="B4" i="39"/>
  <c r="I18" i="41" l="1"/>
  <c r="K18" i="41" s="1"/>
  <c r="I16" i="41"/>
  <c r="K16" i="41" s="1"/>
  <c r="I15" i="41"/>
  <c r="K15" i="41" s="1"/>
  <c r="I25" i="41"/>
  <c r="K25" i="41" s="1"/>
  <c r="R55" i="3"/>
  <c r="I14" i="41"/>
  <c r="K14" i="41" s="1"/>
  <c r="I22" i="41"/>
  <c r="K22" i="41" s="1"/>
  <c r="I28" i="41"/>
  <c r="K28" i="41" s="1"/>
  <c r="K12" i="41"/>
  <c r="K21" i="41"/>
  <c r="K5" i="41"/>
  <c r="K6" i="41"/>
  <c r="K27" i="41"/>
  <c r="D20" i="8"/>
  <c r="K4" i="41"/>
  <c r="K23" i="41"/>
  <c r="K17" i="41"/>
  <c r="K30" i="41"/>
  <c r="K10" i="41"/>
  <c r="K24" i="41"/>
  <c r="K13" i="41"/>
  <c r="K11" i="41"/>
  <c r="K20" i="41"/>
  <c r="I7" i="41" l="1"/>
  <c r="K7" i="41" s="1"/>
  <c r="U65" i="3"/>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D14" i="17" s="1"/>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J73" i="41" l="1"/>
  <c r="D24" i="8"/>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K73" i="41" l="1"/>
  <c r="H20" i="34"/>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4"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E4" i="19"/>
  <c r="D4" i="19"/>
  <c r="C4" i="19"/>
  <c r="B4" i="19"/>
  <c r="G4" i="16"/>
  <c r="F4" i="16"/>
  <c r="E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F6" i="17"/>
  <c r="F57" i="17" s="1"/>
  <c r="E6" i="17"/>
  <c r="G4" i="3"/>
  <c r="H9" i="20"/>
  <c r="K11" i="20"/>
  <c r="K10" i="20"/>
  <c r="J11" i="20"/>
  <c r="H11" i="20" s="1"/>
  <c r="J10" i="20"/>
  <c r="H10" i="20" s="1"/>
  <c r="C15" i="48" l="1"/>
  <c r="C14" i="48"/>
  <c r="I10" i="8"/>
  <c r="I12" i="8"/>
  <c r="K12" i="8" s="1"/>
  <c r="D28" i="18" s="1"/>
  <c r="I11" i="8"/>
  <c r="K11" i="8" s="1"/>
  <c r="D27" i="18" s="1"/>
  <c r="I9" i="8"/>
  <c r="K9" i="8" s="1"/>
  <c r="D25" i="18" s="1"/>
  <c r="I5" i="8"/>
  <c r="I13" i="8"/>
  <c r="K13" i="8" s="1"/>
  <c r="D29" i="18" s="1"/>
  <c r="I6" i="8"/>
  <c r="I8" i="8"/>
  <c r="K8" i="8" s="1"/>
  <c r="D24" i="18" s="1"/>
  <c r="I7" i="8"/>
  <c r="F4" i="48"/>
  <c r="C24" i="48" s="1"/>
  <c r="C13" i="48"/>
  <c r="C12" i="48"/>
  <c r="C11" i="48"/>
  <c r="C10" i="48"/>
  <c r="K8" i="41"/>
  <c r="H12" i="20"/>
  <c r="C9" i="48"/>
  <c r="D11" i="8"/>
  <c r="D9" i="8"/>
  <c r="D6" i="8"/>
  <c r="D5" i="8"/>
  <c r="F5" i="8" s="1"/>
  <c r="G5" i="8" s="1"/>
  <c r="D7" i="8"/>
  <c r="D8" i="8"/>
  <c r="D10" i="8"/>
  <c r="D12" i="8"/>
  <c r="C20" i="11"/>
  <c r="C19" i="11"/>
  <c r="C18" i="11"/>
  <c r="C10" i="11"/>
  <c r="C17" i="11"/>
  <c r="C9" i="11"/>
  <c r="C16" i="11"/>
  <c r="C15" i="11"/>
  <c r="C14" i="11"/>
  <c r="C13" i="11"/>
  <c r="C12" i="11"/>
  <c r="C11" i="11"/>
  <c r="H12" i="8"/>
  <c r="C28" i="18"/>
  <c r="D6" i="17"/>
  <c r="B14" i="18"/>
  <c r="B13" i="18"/>
  <c r="B12" i="18"/>
  <c r="B11" i="18"/>
  <c r="B10" i="18"/>
  <c r="B9" i="18"/>
  <c r="B8" i="18"/>
  <c r="B7" i="18"/>
  <c r="B6" i="18"/>
  <c r="C21" i="48" l="1"/>
  <c r="S56" i="3" s="1"/>
  <c r="E28" i="18"/>
  <c r="R60" i="3"/>
  <c r="C21" i="11"/>
  <c r="C23" i="18"/>
  <c r="H7" i="8"/>
  <c r="H13" i="8"/>
  <c r="L13" i="8" s="1"/>
  <c r="C29" i="18"/>
  <c r="E29" i="18" s="1"/>
  <c r="C24" i="18"/>
  <c r="E24" i="18" s="1"/>
  <c r="H8" i="8"/>
  <c r="L8" i="8" s="1"/>
  <c r="H11" i="8"/>
  <c r="C27" i="18"/>
  <c r="E27" i="18" s="1"/>
  <c r="H5" i="8"/>
  <c r="C21" i="18"/>
  <c r="C26" i="18"/>
  <c r="H10" i="8"/>
  <c r="H6" i="8"/>
  <c r="C22" i="18"/>
  <c r="H9" i="8"/>
  <c r="C25" i="18"/>
  <c r="E25" i="18" s="1"/>
  <c r="L11" i="8"/>
  <c r="L12" i="8"/>
  <c r="L9" i="8"/>
  <c r="H10" i="13"/>
  <c r="H10" i="12"/>
  <c r="H11" i="12" s="1"/>
  <c r="H20" i="12" s="1"/>
  <c r="B6" i="8"/>
  <c r="B7" i="8"/>
  <c r="B8" i="8"/>
  <c r="B9" i="8"/>
  <c r="B10" i="8"/>
  <c r="B11" i="8"/>
  <c r="B12" i="8"/>
  <c r="B13" i="8"/>
  <c r="B5" i="8"/>
  <c r="K7" i="8" l="1"/>
  <c r="G18" i="7"/>
  <c r="G19" i="7" s="1"/>
  <c r="U66" i="3"/>
  <c r="D13" i="8"/>
  <c r="I32" i="41"/>
  <c r="H14" i="8"/>
  <c r="C14" i="18"/>
  <c r="C11" i="18"/>
  <c r="C8" i="18"/>
  <c r="C7" i="18"/>
  <c r="C6" i="18"/>
  <c r="D23" i="18" l="1"/>
  <c r="L7" i="8"/>
  <c r="R56" i="3"/>
  <c r="C9" i="18"/>
  <c r="C10" i="18"/>
  <c r="C12" i="18"/>
  <c r="C13" i="18"/>
  <c r="C14" i="8"/>
  <c r="C14" i="7"/>
  <c r="E23" i="18" l="1"/>
  <c r="C17" i="7"/>
  <c r="C4" i="11"/>
  <c r="C15" i="18"/>
  <c r="R58" i="3" s="1"/>
  <c r="R64" i="3" s="1"/>
  <c r="U58" i="3" l="1"/>
  <c r="U60" i="3" s="1"/>
  <c r="U68" i="3" s="1"/>
  <c r="C5" i="11"/>
  <c r="D21" i="11" l="1"/>
  <c r="C24" i="11"/>
  <c r="D41" i="1"/>
  <c r="D24" i="11" l="1"/>
  <c r="C23" i="48"/>
  <c r="C26" i="48" s="1"/>
  <c r="J32" i="41"/>
  <c r="F12" i="8"/>
  <c r="F7" i="8"/>
  <c r="F11" i="8"/>
  <c r="G11" i="8" s="1"/>
  <c r="F8" i="8"/>
  <c r="F13" i="8"/>
  <c r="D8" i="18" l="1"/>
  <c r="E8" i="18" s="1"/>
  <c r="G7" i="8"/>
  <c r="D13" i="18"/>
  <c r="E13" i="18" s="1"/>
  <c r="G12" i="8"/>
  <c r="G8" i="8"/>
  <c r="D9" i="18"/>
  <c r="E9" i="18" s="1"/>
  <c r="D14" i="18"/>
  <c r="E14" i="18" s="1"/>
  <c r="G13" i="8"/>
  <c r="K3" i="41"/>
  <c r="K32" i="41" s="1"/>
  <c r="L32" i="41" s="1"/>
  <c r="L71" i="41" s="1"/>
  <c r="L73" i="41" s="1"/>
  <c r="F9" i="8"/>
  <c r="D12" i="18"/>
  <c r="E12" i="18" s="1"/>
  <c r="G9" i="8" l="1"/>
  <c r="D10" i="18"/>
  <c r="E10" i="18" s="1"/>
  <c r="I20" i="8" l="1"/>
  <c r="F10" i="8"/>
  <c r="I23" i="8" l="1"/>
  <c r="I22" i="8"/>
  <c r="J5" i="8" s="1"/>
  <c r="D6" i="18"/>
  <c r="E6" i="18" s="1"/>
  <c r="D11" i="18"/>
  <c r="E11" i="18" s="1"/>
  <c r="G10" i="8"/>
  <c r="J10" i="8" l="1"/>
  <c r="K10" i="8" s="1"/>
  <c r="K5" i="8"/>
  <c r="I24" i="8"/>
  <c r="F6" i="8"/>
  <c r="C18" i="7" l="1"/>
  <c r="C19" i="7" s="1"/>
  <c r="I14" i="8"/>
  <c r="D21" i="18"/>
  <c r="L5" i="8"/>
  <c r="D26" i="18"/>
  <c r="L10" i="8"/>
  <c r="D14" i="8"/>
  <c r="G6" i="8"/>
  <c r="G14" i="8" s="1"/>
  <c r="F14" i="8"/>
  <c r="D7" i="18"/>
  <c r="E26" i="18" l="1"/>
  <c r="E21" i="18"/>
  <c r="E7" i="18"/>
  <c r="E15" i="18" s="1"/>
  <c r="K6" i="8"/>
  <c r="D22" i="18" s="1"/>
  <c r="D15" i="18"/>
  <c r="E22" i="18" l="1"/>
  <c r="E30" i="18" s="1"/>
  <c r="D30" i="18"/>
  <c r="L6" i="8"/>
  <c r="L14" i="8" s="1"/>
  <c r="K14" i="8"/>
  <c r="C30" i="1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7"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<sst xmlns="http://schemas.openxmlformats.org/spreadsheetml/2006/main" count="1585" uniqueCount="448">
  <si>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</si>
  <si>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</si>
  <si>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</si>
  <si>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</si>
  <si>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</si>
  <si>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</si>
  <si>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</si>
  <si>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</si>
  <si>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</si>
  <si>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</si>
  <si>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</si>
  <si>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</si>
  <si>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</si>
  <si>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</si>
  <si>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</si>
  <si>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</si>
  <si>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</si>
  <si>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</si>
  <si>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</si>
  <si>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</si>
  <si>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</si>
  <si>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</si>
  <si>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</si>
  <si>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</si>
  <si>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</si>
  <si>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</si>
  <si>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</si>
  <si>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</si>
  <si>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</si>
  <si>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</si>
  <si>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</si>
  <si>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</si>
  <si>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</si>
  <si>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</si>
  <si>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</si>
  <si>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</si>
  <si>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</si>
  <si>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</si>
  <si>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</si>
  <si>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</si>
  <si>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</si>
  <si>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</si>
  <si>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</si>
  <si>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</si>
  <si>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</si>
  <si>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</si>
  <si>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</si>
  <si>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</si>
  <si>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</si>
  <si>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</si>
  <si>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</si>
  <si>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</si>
  <si>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</si>
  <si>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</si>
  <si>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</si>
  <si>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</si>
  <si>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</si>
  <si>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</si>
  <si>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</si>
  <si>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</si>
  <si>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</si>
  <si>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</si>
  <si>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</si>
  <si>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</si>
  <si>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</si>
  <si>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</si>
  <si>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</si>
  <si>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</si>
  <si>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</si>
  <si>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</si>
  <si>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</si>
  <si>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</si>
  <si>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</si>
  <si>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</si>
  <si>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</si>
  <si>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</si>
  <si>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</si>
  <si>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</si>
  <si>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</si>
  <si>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</si>
  <si>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</si>
  <si>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</si>
  <si>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</si>
  <si>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</si>
  <si>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</si>
  <si>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</si>
  <si>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</si>
  <si>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</si>
  <si>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</si>
  <si>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</si>
  <si>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</si>
  <si>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</si>
  <si>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</si>
  <si>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</si>
  <si>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</si>
  <si>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</si>
  <si>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</si>
  <si>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</si>
  <si>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</si>
  <si>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</si>
  <si>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</si>
  <si>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</si>
  <si>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</si>
  <si>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</si>
  <si>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</si>
  <si>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</si>
  <si>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</si>
  <si>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</si>
  <si>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</si>
  <si>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</si>
  <si>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</si>
  <si>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</si>
  <si>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</si>
  <si>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</si>
  <si>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</si>
  <si>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</si>
  <si>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</si>
  <si>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</si>
  <si>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</si>
  <si>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</si>
  <si>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</si>
  <si>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</si>
  <si>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</si>
  <si>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</si>
  <si>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</si>
  <si>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</si>
  <si>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</si>
  <si>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</si>
  <si>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</si>
  <si>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</si>
  <si>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</si>
  <si>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</si>
  <si>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</si>
  <si>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</si>
  <si>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</si>
  <si>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</si>
  <si>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</si>
  <si>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</si>
  <si>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</si>
  <si>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</si>
  <si>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</si>
  <si>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</si>
  <si>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</si>
  <si>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</si>
  <si>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</si>
  <si>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</si>
  <si>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</si>
  <si>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</si>
  <si>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</si>
  <si>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</si>
  <si>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</si>
  <si>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</si>
  <si>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</si>
  <si>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</si>
  <si>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</si>
  <si>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</si>
  <si>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</si>
  <si>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</si>
  <si>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</si>
  <si>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</si>
  <si>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</si>
  <si>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</si>
  <si>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</si>
  <si>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</si>
  <si>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</si>
  <si>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</si>
  <si>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</si>
  <si>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</si>
  <si>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</si>
  <si>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</si>
  <si>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</si>
  <si>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</si>
  <si>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</si>
  <si>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</si>
  <si>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</si>
  <si>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</si>
  <si>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</si>
  <si>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</si>
  <si>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</si>
  <si>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</si>
  <si>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</si>
  <si>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</si>
  <si>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</si>
  <si>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</si>
  <si>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</si>
  <si>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</si>
  <si>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</si>
  <si>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</si>
  <si>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</si>
  <si>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</si>
  <si>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</si>
  <si>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</si>
  <si>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</si>
  <si>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</si>
  <si>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</si>
  <si>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</si>
  <si>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</si>
  <si>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</si>
  <si>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</si>
  <si>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</si>
  <si>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</si>
  <si>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</si>
  <si>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</si>
  <si>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</si>
  <si>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</si>
  <si>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</si>
  <si>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</si>
  <si>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</si>
  <si>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</si>
  <si>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</si>
  <si>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</si>
  <si>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</si>
  <si>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</si>
  <si>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</si>
  <si>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</si>
  <si>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</si>
  <si>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</si>
  <si>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</si>
  <si>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</si>
  <si>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</si>
  <si>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</si>
  <si>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</si>
  <si>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</si>
  <si>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</si>
  <si>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</si>
  <si>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</si>
  <si>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</si>
  <si>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</si>
  <si>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</si>
  <si>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</si>
  <si>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</si>
  <si>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</si>
  <si>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</si>
  <si>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</si>
  <si>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</si>
  <si>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</si>
  <si>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</si>
  <si>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</si>
  <si>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</si>
  <si>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</si>
  <si>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</si>
  <si>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</si>
  <si>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</si>
  <si>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</si>
  <si>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</si>
  <si>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</si>
  <si>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</si>
  <si>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</si>
  <si>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</si>
  <si>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</si>
  <si>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</si>
  <si>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</si>
  <si>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</si>
  <si>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</si>
  <si>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</si>
  <si>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</si>
  <si>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</si>
  <si>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</si>
  <si>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</si>
  <si>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</si>
  <si>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</si>
  <si>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</si>
  <si>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</si>
  <si>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</si>
  <si>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</si>
  <si>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</si>
  <si>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</si>
  <si>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</si>
  <si>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</si>
  <si>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</si>
  <si>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</si>
  <si>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</si>
  <si>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</si>
  <si>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</si>
  <si>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</si>
  <si>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</si>
  <si>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</si>
  <si>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</si>
  <si>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</si>
  <si>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</si>
  <si>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</si>
  <si>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</si>
  <si>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</si>
  <si>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</si>
  <si>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</si>
  <si>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</si>
  <si>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</si>
  <si>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</si>
  <si>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</si>
  <si>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</si>
  <si>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</si>
  <si>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</si>
  <si>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</si>
  <si>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</si>
  <si>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</si>
  <si>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</si>
  <si>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</si>
  <si>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</si>
  <si>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</si>
  <si>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</si>
  <si>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</si>
  <si>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</si>
  <si>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</si>
  <si>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</si>
  <si>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</si>
  <si>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</si>
  <si>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</si>
  <si>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</si>
  <si>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</si>
  <si>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</si>
  <si>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</si>
  <si>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</si>
  <si>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</si>
  <si>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FY23</t>
  </si>
  <si>
    <t>FY24</t>
  </si>
  <si>
    <t>FY23 FRP</t>
  </si>
  <si>
    <t xml:space="preserve">FY23 FRP funding </t>
  </si>
  <si>
    <t xml:space="preserve">FY24 estimated FRP funding </t>
  </si>
  <si>
    <t>JE LOG_FY24'!A1</t>
  </si>
  <si>
    <t>crowhus_08072023_FRP</t>
  </si>
  <si>
    <t>Wilson Hall - HVAC Replacement</t>
  </si>
  <si>
    <t>SC5 -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</si>
  <si>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</si>
  <si>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</si>
  <si>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</si>
  <si>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</si>
  <si>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</si>
  <si>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</si>
  <si>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</si>
  <si>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</si>
  <si>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</si>
  <si>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</si>
  <si>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</si>
  <si>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</si>
  <si>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</si>
  <si>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</si>
  <si>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</si>
  <si>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</si>
  <si>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</si>
  <si>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</si>
  <si>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</si>
  <si>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</si>
  <si>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</si>
  <si>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Contribution 
to FRP</t>
  </si>
  <si>
    <t xml:space="preserve">Funded 
Projects </t>
  </si>
  <si>
    <t>Estimed Funded Projects</t>
  </si>
  <si>
    <t>FY23 FRP 
Funding</t>
  </si>
  <si>
    <t xml:space="preserve">Estimated Funding 
FY24 FRP </t>
  </si>
  <si>
    <t>Vaughn - roof, (phase 2) - summer 2024</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</si>
  <si>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</si>
  <si>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</si>
  <si>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</si>
  <si>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</si>
  <si>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</si>
  <si>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</si>
  <si>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</si>
  <si>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</si>
  <si>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</si>
  <si>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</si>
  <si>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</si>
  <si>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</si>
  <si>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</si>
  <si>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</si>
  <si>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</si>
  <si>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</si>
  <si>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2</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</si>
  <si>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</si>
  <si>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</si>
  <si>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</si>
  <si>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</si>
  <si>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</si>
  <si>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</si>
  <si>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</si>
  <si>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</si>
  <si>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Godchaux - replace roof [Ben] - wait until after HVAC project completed, FY26 (includes small stairwell section in Frist)</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</si>
  <si>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</si>
  <si>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</si>
  <si>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</si>
  <si>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</si>
  <si>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</si>
  <si>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</si>
  <si>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</si>
  <si>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</si>
  <si>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</si>
  <si>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</si>
  <si>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</si>
  <si>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</si>
  <si>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</si>
  <si>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</si>
  <si>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</si>
  <si>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Unalloc reserve</t>
  </si>
  <si>
    <t>FY24 subtotal</t>
  </si>
  <si>
    <t>Other</t>
  </si>
  <si>
    <t>Contribution vs. Funded</t>
  </si>
  <si>
    <t>Count of eBuilder</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</si>
  <si>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</si>
  <si>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</si>
  <si>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</si>
  <si>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</si>
  <si>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</si>
  <si>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</si>
  <si>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</si>
  <si>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</si>
  <si>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</si>
  <si>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</si>
  <si>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</si>
  <si>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</si>
  <si>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New project</t>
  </si>
  <si>
    <t>FX</t>
  </si>
  <si>
    <t>prior year</t>
  </si>
  <si>
    <t>carryforward</t>
  </si>
  <si>
    <t>Seigenthaler Building - HVAC Improvements</t>
  </si>
  <si>
    <t>CP_400242</t>
  </si>
  <si>
    <t>crowhus_03312024_FRP</t>
  </si>
  <si>
    <t>MRB III - air compressor engineering /design (Chris to complete project intake)</t>
  </si>
  <si>
    <t>One Magnolia Circle - Retaining Wall Repair</t>
  </si>
  <si>
    <t>SC6 - Roof Replacement</t>
  </si>
  <si>
    <t>FURMAN HALL</t>
  </si>
  <si>
    <t>Furman Hall - Elevator Modernization</t>
  </si>
  <si>
    <t>03/22/2024 Project has been awarded, PO as been sent to Beech. We will be working on schedule in April for summer install.</t>
  </si>
  <si>
    <t>03/26/2024 work is complete</t>
  </si>
  <si>
    <t>03/22/2024 02/22/2024 01/24/2024 Project on schedule and under budget.</t>
  </si>
  <si>
    <t>03/29/2024 The interior fitout was completed in August and A&amp;S is actively occupying the building. Mechanical rooftop units and partial roof replacement began in December and is substantially complete. Issues with winter construction (roof, RTU's) are being addressed with DPR.</t>
  </si>
  <si>
    <t>03/22/2024 Pre Bid walk tentatively set for 04/19/24</t>
  </si>
  <si>
    <t>03/22/2024 02/27/2024 We expect DD set to be ready at the end of March and we will start the review process in April.</t>
  </si>
  <si>
    <t>03/22/2024 FM Sylvan is closing in on pricing for the second utility run, leading to Stevenson Center. We are coordinating with NES to see what costs would be for transformer power set up.</t>
  </si>
  <si>
    <t>03/28/2024 We will begin scheduling in April, put in front of FRC in April, with construction slated to start summer 2024.</t>
  </si>
  <si>
    <t>03/22/2024 Pre-bid walkthrough is scheduled for the end of March. We will determine schedule once lead times are known. Project needs to be completed during the summer when students are less likely to be using the building.</t>
  </si>
  <si>
    <t>03/27/2024 Per meeting with Anthony Tharp, this is an FY25 project.  There are several projects on 9th floor at MRB III, that will roll into one large project - controls project, nitrogen generators project, and Micro Spectrometer Research Center (MSRC) project.</t>
  </si>
  <si>
    <t>03/22/2024 02/22/2024 01/22/2024 11/22/2023 10/23/2023 Outside work is underway; Inside work is scheduled for May 2024</t>
  </si>
  <si>
    <t>03/26/2024 02/26/2024 Project is complete.  Contractor is working on punch list items.  Once items complete, project is ready to close.</t>
  </si>
  <si>
    <t>03/29/2024 02/28/2024 01/26/2024 12/18/2023 Waiting budget approval.  2/28 Scope modified, waiting on additional bid, will modify BAC and resubmit.   3/29, New budget submitted.  waiting approval before scheduling contractor.  Set for summer '24 work.</t>
  </si>
  <si>
    <t>03/26/2024 02/26/2024 Currently working through the PO process.</t>
  </si>
  <si>
    <t>03/26/2024 Project currently out to bid.  Bids are due 03/29</t>
  </si>
  <si>
    <t>03/22/2024 Project is in closeout</t>
  </si>
  <si>
    <t>03/26/2024 Working through the PO process</t>
  </si>
  <si>
    <t>03/26/2024 VUMO is managing this project.  CPC is helping with the PO process.</t>
  </si>
  <si>
    <t>03/22/2024 We are awaiting contract signature by Nashville Machine. We hope to have equipment in around May and will do summer install.</t>
  </si>
  <si>
    <t>03/26/2024 Working through the PO process.</t>
  </si>
  <si>
    <t>03/26/2024 Working with the appropriate parties to determine the scope of work.</t>
  </si>
  <si>
    <t>03/22/2024 waiting for FY 26 funding</t>
  </si>
  <si>
    <t>03/29/2024 Bids due 3/29.  Will award in April if budget is approved.</t>
  </si>
  <si>
    <t>03/22/2024 We are awaiting PO for Nashville Machine. They will start work as soon as PO is received.</t>
  </si>
  <si>
    <t>CP_400224</t>
  </si>
  <si>
    <t>10000 - Chancellor</t>
  </si>
  <si>
    <t>Divinity Air Handling Unit Replacement,(1/3) - Phase 2 with Benton - FY26</t>
  </si>
  <si>
    <t>Blair School of Music - AHU - 1 Replacement -Phase 1 - FY25</t>
  </si>
  <si>
    <t>Blair School of Music - Steam Line - FY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</si>
</sst>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sz val="11"/>
      <color theme="9" tint="-0.249977111117893"/>
      <name val="Calibri"/>
      <family val="2"/>
      <scheme val="minor"/>
    </font>
    <font>
      <strike/>
      <u/>
      <sz val="11"/>
      <color theme="10"/>
      <name val="Calibri"/>
      <family val="2"/>
      <scheme val="minor"/>
    </font>
    <font>
      <i/>
      <sz val="11"/>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4" fontId="13" fillId="36" borderId="15"/>
  </cellStyleXfs>
  <cellXfs count="274">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4" borderId="6" xfId="1" applyNumberFormat="1" applyFont="1" applyFill="1" applyBorder="1" applyAlignment="1">
      <alignment horizontal="right" vertical="center" readingOrder="1"/>
    </xf>
    <xf numFmtId="164" fontId="0" fillId="34" borderId="0" xfId="1" applyNumberFormat="1" applyFont="1" applyFill="1" applyBorder="1" applyAlignment="1">
      <alignment vertical="center"/>
    </xf>
    <xf numFmtId="168" fontId="2" fillId="23" borderId="0" xfId="4" applyNumberFormat="1" applyFont="1" applyFill="1" applyAlignment="1">
      <alignment horizontal="center" wrapText="1"/>
    </xf>
    <xf numFmtId="164" fontId="2" fillId="3" borderId="0" xfId="11" applyNumberFormat="1" applyFill="1"/>
    <xf numFmtId="0" fontId="2" fillId="3" borderId="0" xfId="11" applyFill="1" applyAlignment="1">
      <alignment horizontal="center"/>
    </xf>
    <xf numFmtId="0" fontId="0" fillId="35" borderId="0" xfId="12" applyFont="1" applyFill="1" applyAlignment="1">
      <alignment horizontal="center"/>
    </xf>
    <xf numFmtId="0" fontId="1" fillId="35" borderId="0" xfId="12" applyFill="1"/>
    <xf numFmtId="164" fontId="1" fillId="35" borderId="0" xfId="12" applyNumberFormat="1" applyFill="1"/>
    <xf numFmtId="0" fontId="1" fillId="35"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28" fillId="26"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2"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0" fontId="31"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4" borderId="0" xfId="0" applyNumberFormat="1" applyFill="1"/>
    <xf numFmtId="168" fontId="0" fillId="0" borderId="0" xfId="0" applyNumberFormat="1"/>
    <xf numFmtId="168" fontId="12" fillId="0" borderId="0" xfId="0" applyNumberFormat="1" applyFont="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3" fillId="0" borderId="0" xfId="0" applyFont="1"/>
    <xf numFmtId="164" fontId="33"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0" borderId="0" xfId="0" applyNumberFormat="1" applyFont="1"/>
    <xf numFmtId="164" fontId="12" fillId="5" borderId="0" xfId="0" applyNumberFormat="1" applyFont="1" applyFill="1"/>
    <xf numFmtId="0" fontId="0" fillId="30" borderId="0" xfId="14" applyFont="1"/>
    <xf numFmtId="0" fontId="0" fillId="31" borderId="0" xfId="15" applyFont="1"/>
    <xf numFmtId="0" fontId="0" fillId="28" borderId="0" xfId="12" applyFont="1"/>
    <xf numFmtId="0" fontId="0" fillId="35" borderId="0" xfId="12" applyFont="1" applyFill="1"/>
    <xf numFmtId="164" fontId="0" fillId="34" borderId="0" xfId="1" applyNumberFormat="1" applyFont="1" applyFill="1" applyAlignment="1">
      <alignment horizontal="right"/>
    </xf>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7"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pivotCacheDefinition" Target="pivotCache/pivotCacheDefinition1.xml"/><Relationship Id="rId63"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microsoft.com/office/2007/relationships/slicerCache" Target="slicerCaches/slicerCache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07/relationships/slicerCache" Target="slicerCaches/slicerCache1.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microsoft.com/office/2007/relationships/slicerCache" Target="slicerCaches/slicerCache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07/relationships/slicerCache" Target="slicerCaches/slicerCache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29937</xdr:colOff>
      <xdr:row>33</xdr:row>
      <xdr:rowOff>121104</xdr:rowOff>
    </xdr:from>
    <xdr:to>
      <xdr:col>4</xdr:col>
      <xdr:colOff>1076325</xdr:colOff>
      <xdr:row>36</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124072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123804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140577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126532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12236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50341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29936</xdr:colOff>
      <xdr:row>59</xdr:row>
      <xdr:rowOff>58510</xdr:rowOff>
    </xdr:from>
    <xdr:to>
      <xdr:col>7</xdr:col>
      <xdr:colOff>914400</xdr:colOff>
      <xdr:row>62</xdr:row>
      <xdr:rowOff>9526</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68061" y="8392885"/>
          <a:ext cx="10628539" cy="493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370119</xdr:colOff>
      <xdr:row>10</xdr:row>
      <xdr:rowOff>163355</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29962</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257184</xdr:colOff>
      <xdr:row>19</xdr:row>
      <xdr:rowOff>28584</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96157</xdr:colOff>
      <xdr:row>68</xdr:row>
      <xdr:rowOff>115207</xdr:rowOff>
    </xdr:from>
    <xdr:to>
      <xdr:col>9</xdr:col>
      <xdr:colOff>992913</xdr:colOff>
      <xdr:row>82</xdr:row>
      <xdr:rowOff>171366</xdr:rowOff>
    </xdr:to>
    <xdr:pic>
      <xdr:nvPicPr>
        <xdr:cNvPr id="2" name="Picture 1">
          <a:extLst>
            <a:ext uri="{FF2B5EF4-FFF2-40B4-BE49-F238E27FC236}">
              <a16:creationId xmlns:a16="http://schemas.microsoft.com/office/drawing/2014/main" id="{FD45EF97-3C27-4D0E-9765-0FD287D8E672}"/>
            </a:ext>
          </a:extLst>
        </xdr:cNvPr>
        <xdr:cNvPicPr>
          <a:picLocks noChangeAspect="1"/>
        </xdr:cNvPicPr>
      </xdr:nvPicPr>
      <xdr:blipFill>
        <a:blip xmlns:r="http://schemas.openxmlformats.org/officeDocument/2006/relationships" r:embed="rId1"/>
        <a:stretch>
          <a:fillRect/>
        </a:stretch>
      </xdr:blipFill>
      <xdr:spPr>
        <a:xfrm>
          <a:off x="420007" y="9906907"/>
          <a:ext cx="5678306" cy="2592530"/>
        </a:xfrm>
        <a:prstGeom prst="rect">
          <a:avLst/>
        </a:prstGeom>
        <a:ln>
          <a:solidFill>
            <a:schemeClr val="accent4">
              <a:lumMod val="50000"/>
            </a:schemeClr>
          </a:solidFill>
        </a:ln>
      </xdr:spPr>
    </xdr:pic>
    <xdr:clientData/>
  </xdr:twoCellAnchor>
  <xdr:twoCellAnchor editAs="oneCell">
    <xdr:from>
      <xdr:col>9</xdr:col>
      <xdr:colOff>1211188</xdr:colOff>
      <xdr:row>77</xdr:row>
      <xdr:rowOff>75293</xdr:rowOff>
    </xdr:from>
    <xdr:to>
      <xdr:col>21</xdr:col>
      <xdr:colOff>875863</xdr:colOff>
      <xdr:row>82</xdr:row>
      <xdr:rowOff>143460</xdr:rowOff>
    </xdr:to>
    <xdr:pic>
      <xdr:nvPicPr>
        <xdr:cNvPr id="3" name="Picture 2">
          <a:extLst>
            <a:ext uri="{FF2B5EF4-FFF2-40B4-BE49-F238E27FC236}">
              <a16:creationId xmlns:a16="http://schemas.microsoft.com/office/drawing/2014/main" id="{00C5867D-2A3E-A814-5688-98337FDF7A67}"/>
            </a:ext>
          </a:extLst>
        </xdr:cNvPr>
        <xdr:cNvPicPr>
          <a:picLocks noChangeAspect="1"/>
        </xdr:cNvPicPr>
      </xdr:nvPicPr>
      <xdr:blipFill>
        <a:blip xmlns:r="http://schemas.openxmlformats.org/officeDocument/2006/relationships" r:embed="rId2"/>
        <a:stretch>
          <a:fillRect/>
        </a:stretch>
      </xdr:blipFill>
      <xdr:spPr>
        <a:xfrm>
          <a:off x="6316588" y="11495768"/>
          <a:ext cx="9827850" cy="974256"/>
        </a:xfrm>
        <a:prstGeom prst="rect">
          <a:avLst/>
        </a:prstGeom>
        <a:ln>
          <a:solidFill>
            <a:schemeClr val="bg2">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13</xdr:col>
      <xdr:colOff>438176</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399.456591203707" createdVersion="8" refreshedVersion="8" minRefreshableVersion="3" recordCount="51" xr:uid="{4DC34609-0CBA-4BEE-8D09-85740F976574}">
  <cacheSource type="worksheet">
    <worksheetSource ref="B3:X54" sheet="Project Status"/>
  </cacheSource>
  <cacheFields count="23">
    <cacheField name="Capex / Opex" numFmtId="0">
      <sharedItems containsBlank="1" count="4">
        <s v="Operating"/>
        <s v="Capital"/>
        <s v="TBD"/>
        <m/>
      </sharedItems>
    </cacheField>
    <cacheField name="eBuilder" numFmtId="0">
      <sharedItems containsSemiMixedTypes="0" containsString="0" containsNumber="1" containsInteger="1" minValue="10085" maxValue="20958"/>
    </cacheField>
    <cacheField name="AiM" numFmtId="0">
      <sharedItems containsString="0" containsBlank="1" containsNumber="1" containsInteger="1" minValue="529" maxValue="36015"/>
    </cacheField>
    <cacheField name="Oracle" numFmtId="0">
      <sharedItems containsBlank="1"/>
    </cacheField>
    <cacheField name="School" numFmtId="0">
      <sharedItems count="13">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37000 - Facilities: Office of the Chief Facilities Officer"/>
        <s v="19000 - Nursing: Office of the Dean"/>
        <s v="10000 - Chancellor"/>
        <s v="10000 - Office of the Chancellor" u="1"/>
      </sharedItems>
    </cacheField>
    <cacheField name="Lookup" numFmtId="0">
      <sharedItems count="11">
        <s v="Peabody"/>
        <s v="SOM Basic Sciences"/>
        <s v="Nursing"/>
        <s v="Law"/>
        <s v="Blair"/>
        <s v="Divinity"/>
        <s v="Arts &amp; Science"/>
        <s v="Engineering"/>
        <s v="Owen"/>
        <s v="Other"/>
        <e v="#N/A" u="1"/>
      </sharedItems>
    </cacheField>
    <cacheField name="Building" numFmtId="0">
      <sharedItems count="26">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FRIST HALL"/>
        <s v="NEELY AUDITORIUM"/>
        <s v="SEIGENTHALER CENTER"/>
        <s v="FURMAN HALL"/>
        <s v="VAUGHN HOME" u="1"/>
      </sharedItems>
    </cacheField>
    <cacheField name="Project" numFmtId="0">
      <sharedItems count="56">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SC6 - Roof Replacement"/>
        <s v="Furman Hall - Elevator Modernization"/>
        <s v="Divinity Air Handling Unit Replacement, (1/3) - Phase 2 with Benton" u="1"/>
        <s v="Blair School of Music - Air Handling Unit Replacement -Phase 1" u="1"/>
        <s v="Blair School of Music - Steam Line" u="1"/>
        <s v="Seigenthaler Building Conversion" u="1"/>
        <s v="Vaughn Home - Exterior Improvements" u="1"/>
      </sharedItems>
    </cacheField>
    <cacheField name="Phase" numFmtId="0">
      <sharedItems count="10">
        <s v="Finalized"/>
        <s v="Award"/>
        <s v="Warranty or Construction Closeout"/>
        <s v="Financial Closeout"/>
        <s v="Construction"/>
        <s v="Not Started"/>
        <s v="Bidding"/>
        <s v="Design"/>
        <s v="Programming or Planning"/>
        <s v="Planning" u="1"/>
      </sharedItems>
    </cacheField>
    <cacheField name="Manager" numFmtId="0">
      <sharedItems/>
    </cacheField>
    <cacheField name="Estimated total budget" numFmtId="164">
      <sharedItems containsString="0" containsBlank="1" containsNumber="1" minValue="0" maxValue="465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540067.72"/>
    </cacheField>
    <cacheField name="Projected commitments" numFmtId="164">
      <sharedItems containsSemiMixedTypes="0" containsString="0" containsNumber="1" minValue="0" maxValue="3544817.72"/>
    </cacheField>
    <cacheField name="Invoices Approved" numFmtId="164">
      <sharedItems containsSemiMixedTypes="0" containsString="0" containsNumber="1" minValue="0" maxValue="1864414.99"/>
    </cacheField>
    <cacheField name="Unallocated Reserve" numFmtId="164">
      <sharedItems containsBlank="1" containsMixedTypes="1" containsNumber="1" minValue="0" maxValue="92965.86"/>
    </cacheField>
    <cacheField name="FY23 FRP Cash Transferred" numFmtId="164">
      <sharedItems containsSemiMixedTypes="0" containsString="0" containsNumber="1" minValue="0" maxValue="1232681"/>
    </cacheField>
    <cacheField name="FY24 FRP Transferred" numFmtId="164">
      <sharedItems containsSemiMixedTypes="0" containsString="0" containsNumber="1" minValue="-119221" maxValue="3660360"/>
    </cacheField>
    <cacheField name="FY24 FRP Estimated" numFmtId="164">
      <sharedItems containsMixedTypes="1" containsNumber="1" containsInteger="1" minValue="0" maxValue="2000000"/>
    </cacheField>
    <cacheField name="FY24 FRP Total Contribution" numFmtId="164">
      <sharedItems containsSemiMixedTypes="0" containsString="0" containsNumber="1" minValue="-119221" maxValue="3660360"/>
    </cacheField>
    <cacheField name="FY25 FRP Estimated" numFmtId="164">
      <sharedItems containsBlank="1" containsMixedTypes="1" containsNumber="1" containsInteger="1" minValue="0" maxValue="3200000"/>
    </cacheField>
    <cacheField name="FY26 FRP Estimated" numFmtId="164">
      <sharedItems containsBlank="1" containsMixedTypes="1"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3497832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4400.96"/>
    <n v="0"/>
    <n v="0"/>
    <s v="08/22/2023 project complete"/>
  </r>
  <r>
    <x v="1"/>
    <n v="10146"/>
    <n v="4418"/>
    <s v="CP_400025"/>
    <x v="2"/>
    <x v="2"/>
    <x v="2"/>
    <x v="2"/>
    <x v="1"/>
    <s v="Sean Rewers"/>
    <n v="318000"/>
    <n v="318057"/>
    <n v="228355.7"/>
    <n v="228355.7"/>
    <n v="64975"/>
    <m/>
    <n v="4900"/>
    <n v="255957"/>
    <n v="0"/>
    <n v="255957"/>
    <n v="0"/>
    <n v="0"/>
    <s v="03/22/2024 Project has been awarded, PO as been sent to Beech. We will be working on schedule in April for summer install."/>
  </r>
  <r>
    <x v="1"/>
    <n v="20179"/>
    <n v="36015"/>
    <s v="CP_400024"/>
    <x v="3"/>
    <x v="3"/>
    <x v="3"/>
    <x v="3"/>
    <x v="2"/>
    <s v="Bob Grummon"/>
    <n v="1445389"/>
    <n v="1445389"/>
    <n v="1352423.14"/>
    <n v="1352423.14"/>
    <n v="1352423.14"/>
    <n v="92965.86"/>
    <n v="722694.5"/>
    <n v="0"/>
    <n v="0"/>
    <n v="0"/>
    <n v="0"/>
    <n v="0"/>
    <s v="03/26/2024 work is complete"/>
  </r>
  <r>
    <x v="1"/>
    <n v="20336"/>
    <n v="20075"/>
    <s v="CP_400056"/>
    <x v="4"/>
    <x v="4"/>
    <x v="4"/>
    <x v="4"/>
    <x v="3"/>
    <s v="Ben Bedock"/>
    <n v="327890"/>
    <n v="327890"/>
    <n v="280600"/>
    <n v="280600"/>
    <n v="280600"/>
    <m/>
    <n v="327890"/>
    <n v="-47290"/>
    <n v="0"/>
    <n v="-47290"/>
    <n v="0"/>
    <n v="0"/>
    <s v="01/22/2024 Project complete.  Waiting on final invoice to clear to begin the financial closeout process."/>
  </r>
  <r>
    <x v="1"/>
    <n v="20431"/>
    <n v="8084"/>
    <s v="CP_400108"/>
    <x v="5"/>
    <x v="5"/>
    <x v="5"/>
    <x v="5"/>
    <x v="4"/>
    <s v="Hans Mooy"/>
    <n v="3800000"/>
    <n v="3800000"/>
    <n v="3540067.72"/>
    <n v="3544817.72"/>
    <n v="1653351.9"/>
    <m/>
    <n v="69862.5"/>
    <n v="3660360"/>
    <n v="0"/>
    <n v="3660360"/>
    <n v="0"/>
    <n v="0"/>
    <s v="03/22/2024 02/22/2024 01/24/2024 Project on schedule and under budget."/>
  </r>
  <r>
    <x v="1"/>
    <n v="20478"/>
    <n v="8672"/>
    <s v="CP_400182"/>
    <x v="6"/>
    <x v="6"/>
    <x v="6"/>
    <x v="6"/>
    <x v="2"/>
    <s v="Cathy Bartlett"/>
    <n v="2790000"/>
    <n v="2790000"/>
    <n v="2467989.41"/>
    <n v="2467989.41"/>
    <n v="1864414.99"/>
    <s v="TBD"/>
    <n v="81100"/>
    <n v="1028900"/>
    <n v="0"/>
    <n v="1028900"/>
    <n v="0"/>
    <n v="0"/>
    <s v="03/29/2024 The interior fitout was completed in August and A&amp;S is actively occupying the building. Mechanical rooftop units and partial roof replacement began in December and is substantially complete. Issues with winter construction (roof, RTU's) are being addressed with DPR."/>
  </r>
  <r>
    <x v="1"/>
    <n v="20489"/>
    <n v="8051"/>
    <s v="CP_400183"/>
    <x v="5"/>
    <x v="5"/>
    <x v="5"/>
    <x v="7"/>
    <x v="5"/>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4485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36379"/>
    <n v="0"/>
    <n v="0"/>
    <s v="09/22/2023 Project complete.  Financial closeout process to begin after confirmation that all invoices have been submitted, approved and cleared."/>
  </r>
  <r>
    <x v="1"/>
    <n v="20562"/>
    <n v="4564"/>
    <s v="CP_400175"/>
    <x v="0"/>
    <x v="0"/>
    <x v="8"/>
    <x v="10"/>
    <x v="3"/>
    <s v="Sean Rewers"/>
    <n v="400000"/>
    <n v="405791"/>
    <n v="362559.64"/>
    <n v="362559.64"/>
    <n v="362559.64"/>
    <m/>
    <n v="405791"/>
    <n v="-43231.360000000001"/>
    <n v="0"/>
    <n v="-43231.360000000001"/>
    <n v="0"/>
    <n v="0"/>
    <s v="01/22/2024 Project is in closeout"/>
  </r>
  <r>
    <x v="2"/>
    <n v="20563"/>
    <n v="4624"/>
    <m/>
    <x v="7"/>
    <x v="7"/>
    <x v="9"/>
    <x v="11"/>
    <x v="5"/>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59283.32"/>
    <n v="0"/>
    <n v="0"/>
    <s v="11/22/2023 Project complete.  Waiting on final invoice to clear to begin the financial closeout process."/>
  </r>
  <r>
    <x v="1"/>
    <n v="20573"/>
    <n v="8047"/>
    <s v="CP_400185"/>
    <x v="0"/>
    <x v="0"/>
    <x v="8"/>
    <x v="13"/>
    <x v="3"/>
    <s v="Ben Bedock"/>
    <n v="1232681"/>
    <n v="1232681"/>
    <n v="1113460"/>
    <n v="1113460"/>
    <n v="1113460"/>
    <m/>
    <n v="1232681"/>
    <n v="-119221"/>
    <n v="0"/>
    <n v="-119221"/>
    <n v="0"/>
    <n v="0"/>
    <s v="01/22/2024 Project is complete.  Waiting on final invoice to clear to begin the closeout process."/>
  </r>
  <r>
    <x v="1"/>
    <n v="20574"/>
    <n v="8145"/>
    <s v="CP_400164"/>
    <x v="1"/>
    <x v="1"/>
    <x v="1"/>
    <x v="14"/>
    <x v="3"/>
    <s v="Sean Rewers"/>
    <n v="218202"/>
    <n v="218202"/>
    <n v="195665"/>
    <n v="195665"/>
    <n v="195665"/>
    <m/>
    <n v="218202"/>
    <n v="-22537"/>
    <n v="0"/>
    <n v="-22537"/>
    <n v="0"/>
    <n v="0"/>
    <s v="01/22/2024 Project is in closeout"/>
  </r>
  <r>
    <x v="1"/>
    <n v="20577"/>
    <n v="8146"/>
    <s v="CP_400154"/>
    <x v="4"/>
    <x v="4"/>
    <x v="4"/>
    <x v="15"/>
    <x v="6"/>
    <s v="Hans Mooy"/>
    <n v="1500000"/>
    <n v="223000"/>
    <n v="220566.21"/>
    <n v="220566.21"/>
    <n v="185191.21"/>
    <m/>
    <n v="223000"/>
    <n v="0"/>
    <n v="0"/>
    <n v="0"/>
    <n v="1500000"/>
    <n v="2510000"/>
    <s v="03/22/2024 Pre Bid walk tentatively set for 04/19/24"/>
  </r>
  <r>
    <x v="1"/>
    <n v="20644"/>
    <n v="8241"/>
    <s v="CP_400171"/>
    <x v="0"/>
    <x v="0"/>
    <x v="11"/>
    <x v="16"/>
    <x v="3"/>
    <s v="Ben Bedock"/>
    <n v="630554"/>
    <n v="630554"/>
    <n v="571789"/>
    <n v="571789"/>
    <n v="571789"/>
    <m/>
    <n v="630554"/>
    <n v="-58765"/>
    <n v="0"/>
    <n v="-58765"/>
    <n v="0"/>
    <n v="0"/>
    <s v="10/23/2023 Project complete.  Waiting on final invoice to clear to begin the financial closeout process."/>
  </r>
  <r>
    <x v="0"/>
    <n v="20645"/>
    <n v="8239"/>
    <m/>
    <x v="6"/>
    <x v="6"/>
    <x v="12"/>
    <x v="17"/>
    <x v="3"/>
    <s v="Ben Bedock"/>
    <n v="125875"/>
    <n v="125875"/>
    <n v="114350"/>
    <n v="114350"/>
    <n v="114350"/>
    <n v="11225"/>
    <n v="125875"/>
    <n v="0"/>
    <n v="0"/>
    <n v="0"/>
    <n v="0"/>
    <n v="0"/>
    <s v="02/26/2024 Punchlist items have been discussed with the contractor.  Once items are completed, project is ready to closeout."/>
  </r>
  <r>
    <x v="1"/>
    <n v="20667"/>
    <n v="8168"/>
    <s v="CP_400160"/>
    <x v="7"/>
    <x v="7"/>
    <x v="13"/>
    <x v="18"/>
    <x v="7"/>
    <s v="Sean Rewers"/>
    <n v="2000000"/>
    <n v="146500"/>
    <n v="146500"/>
    <n v="146500"/>
    <n v="34500"/>
    <m/>
    <n v="146500"/>
    <n v="0"/>
    <n v="2000000"/>
    <n v="2000000"/>
    <n v="0"/>
    <n v="0"/>
    <s v="03/22/2024 02/27/2024 We expect DD set to be ready at the end of March and we will start the review process in April."/>
  </r>
  <r>
    <x v="1"/>
    <n v="20668"/>
    <n v="8151"/>
    <s v="CP_400163"/>
    <x v="7"/>
    <x v="7"/>
    <x v="9"/>
    <x v="19"/>
    <x v="7"/>
    <s v="Sean Rewers"/>
    <n v="0"/>
    <n v="231433"/>
    <n v="231433"/>
    <n v="231433"/>
    <n v="89710"/>
    <m/>
    <n v="206500"/>
    <n v="24933"/>
    <n v="0"/>
    <n v="24933"/>
    <s v="TBD"/>
    <n v="0"/>
    <s v="03/22/2024 FM Sylvan is closing in on pricing for the second utility run, leading to Stevenson Center. We are coordinating with NES to see what costs would be for transformer power set up."/>
  </r>
  <r>
    <x v="1"/>
    <n v="20698"/>
    <n v="1138"/>
    <s v="CP_400168"/>
    <x v="6"/>
    <x v="6"/>
    <x v="14"/>
    <x v="20"/>
    <x v="1"/>
    <s v="Sean Rewers"/>
    <n v="680000"/>
    <n v="678513"/>
    <n v="583771"/>
    <n v="583771"/>
    <n v="21207.5"/>
    <m/>
    <n v="29250"/>
    <n v="649263"/>
    <n v="0"/>
    <n v="649263"/>
    <n v="0"/>
    <n v="0"/>
    <s v="03/28/2024 We will begin scheduling in April, put in front of FRC in April, with construction slated to start summer 2024."/>
  </r>
  <r>
    <x v="0"/>
    <n v="20700"/>
    <n v="851"/>
    <m/>
    <x v="6"/>
    <x v="6"/>
    <x v="10"/>
    <x v="21"/>
    <x v="0"/>
    <s v="Sean Rewers"/>
    <n v="80000"/>
    <n v="85577"/>
    <n v="85576.77"/>
    <n v="85576.77"/>
    <n v="85576.77"/>
    <m/>
    <n v="79623"/>
    <n v="5954"/>
    <n v="0"/>
    <n v="5954"/>
    <n v="0"/>
    <n v="0"/>
    <s v="11/27/2023 Project is in closeout"/>
  </r>
  <r>
    <x v="1"/>
    <n v="20701"/>
    <n v="4399"/>
    <s v="CP_400198"/>
    <x v="6"/>
    <x v="6"/>
    <x v="15"/>
    <x v="22"/>
    <x v="6"/>
    <s v="Sean Rewers"/>
    <n v="500000"/>
    <n v="499093"/>
    <n v="18000"/>
    <n v="18000"/>
    <n v="14400"/>
    <m/>
    <n v="499093"/>
    <n v="0"/>
    <n v="0"/>
    <n v="0"/>
    <n v="0"/>
    <n v="0"/>
    <s v="03/22/2024 Pre-bid walkthrough is scheduled for the end of March. We will determine schedule once lead times are known. Project needs to be completed during the summer when students are less likely to be using the building."/>
  </r>
  <r>
    <x v="1"/>
    <n v="20702"/>
    <n v="8432"/>
    <s v="CP_400165"/>
    <x v="0"/>
    <x v="0"/>
    <x v="8"/>
    <x v="23"/>
    <x v="0"/>
    <s v="Ben Bedock"/>
    <n v="225791"/>
    <n v="239341"/>
    <n v="209419"/>
    <n v="209419"/>
    <n v="209419"/>
    <m/>
    <n v="239341"/>
    <n v="-29922"/>
    <n v="0"/>
    <n v="-29922"/>
    <n v="0"/>
    <n v="0"/>
    <s v="12/18/2023 Project complete.  Waiting on final invoice to clear to begin the financial closeout process."/>
  </r>
  <r>
    <x v="1"/>
    <n v="20718"/>
    <n v="8608"/>
    <s v="CP_400174"/>
    <x v="6"/>
    <x v="6"/>
    <x v="16"/>
    <x v="24"/>
    <x v="3"/>
    <s v="Erin Fry"/>
    <n v="715000"/>
    <n v="715000"/>
    <n v="656784.6"/>
    <n v="656784.6"/>
    <n v="656576.59"/>
    <s v="TBD"/>
    <n v="96166"/>
    <n v="0"/>
    <n v="0"/>
    <n v="0"/>
    <n v="0"/>
    <n v="0"/>
    <s v="02/23/2024 Construction complete. Library Closeout process complete. The Financial closeout process has been started."/>
  </r>
  <r>
    <x v="1"/>
    <n v="20723"/>
    <n v="1628"/>
    <s v="CP_400187"/>
    <x v="1"/>
    <x v="1"/>
    <x v="1"/>
    <x v="25"/>
    <x v="1"/>
    <s v="Andy Maddox"/>
    <n v="1610000"/>
    <n v="160500"/>
    <n v="155232.51999999999"/>
    <n v="155232.51999999999"/>
    <n v="138595.01999999999"/>
    <m/>
    <n v="160500"/>
    <n v="0"/>
    <n v="0"/>
    <n v="0"/>
    <s v="TBD"/>
    <n v="0"/>
    <s v="03/27/2024 Per meeting with Anthony Tharp, this is an FY25 project.  There are several projects on 9th floor at MRB III, that will roll into one large project - controls project, nitrogen generators project, and Micro Spectrometer Research Center (MSRC) project."/>
  </r>
  <r>
    <x v="1"/>
    <n v="20724"/>
    <n v="8557"/>
    <s v="CP_400178"/>
    <x v="4"/>
    <x v="4"/>
    <x v="4"/>
    <x v="26"/>
    <x v="4"/>
    <s v="Hans Mooy"/>
    <n v="1987500"/>
    <n v="1987500"/>
    <n v="1784625"/>
    <n v="1784625"/>
    <n v="259375.9"/>
    <m/>
    <n v="23400"/>
    <n v="1964100"/>
    <n v="0"/>
    <n v="1964100"/>
    <n v="0"/>
    <n v="0"/>
    <s v="03/22/2024 02/22/2024 01/22/2024 11/22/2023 10/23/2023 Outside work is underway; Inside work is scheduled for May 2024"/>
  </r>
  <r>
    <x v="0"/>
    <n v="20735"/>
    <n v="8226"/>
    <m/>
    <x v="8"/>
    <x v="8"/>
    <x v="17"/>
    <x v="27"/>
    <x v="2"/>
    <s v="Ben Bedock"/>
    <n v="300000"/>
    <n v="300000"/>
    <n v="276500"/>
    <n v="276500"/>
    <n v="260350"/>
    <n v="23500"/>
    <n v="300000"/>
    <n v="0"/>
    <n v="0"/>
    <n v="0"/>
    <n v="0"/>
    <n v="0"/>
    <s v="03/26/2024 02/26/2024 Project is complete.  Contractor is working on punch list items.  Once items complete, project is ready to close."/>
  </r>
  <r>
    <x v="1"/>
    <n v="20767"/>
    <n v="8673"/>
    <s v="CP_400242"/>
    <x v="0"/>
    <x v="0"/>
    <x v="18"/>
    <x v="28"/>
    <x v="1"/>
    <s v="Jay Surprenant"/>
    <n v="149000"/>
    <n v="148299"/>
    <n v="0"/>
    <n v="125699"/>
    <n v="0"/>
    <m/>
    <n v="0"/>
    <n v="148299"/>
    <n v="0"/>
    <n v="148299"/>
    <n v="0"/>
    <n v="0"/>
    <s v="03/29/2024 02/28/2024 01/26/2024 12/18/2023 Waiting budget approval.  2/28 Scope modified, waiting on additional bid, will modify BAC and resubmit.   3/29, New budget submitted.  waiting approval before scheduling contractor.  Set for summer '24 work."/>
  </r>
  <r>
    <x v="0"/>
    <n v="20771"/>
    <n v="8674"/>
    <m/>
    <x v="6"/>
    <x v="6"/>
    <x v="10"/>
    <x v="29"/>
    <x v="0"/>
    <s v="Sean Rewers"/>
    <n v="25000"/>
    <n v="24997"/>
    <n v="17972"/>
    <n v="17972"/>
    <n v="17972"/>
    <m/>
    <n v="24997"/>
    <n v="-7025"/>
    <n v="0"/>
    <n v="-7025"/>
    <n v="0"/>
    <n v="0"/>
    <s v="07/24/2023 Project is complete. I will begin closeout after taking some final photos of the space."/>
  </r>
  <r>
    <x v="1"/>
    <n v="20772"/>
    <n v="8675"/>
    <s v="CP_400235"/>
    <x v="8"/>
    <x v="8"/>
    <x v="17"/>
    <x v="30"/>
    <x v="4"/>
    <s v="Ben Bedock"/>
    <n v="3200000"/>
    <n v="3200000"/>
    <n v="2789045"/>
    <n v="2789045"/>
    <n v="0"/>
    <m/>
    <n v="0"/>
    <n v="0"/>
    <n v="0"/>
    <n v="0"/>
    <n v="3200000"/>
    <n v="0"/>
    <s v="03/26/2024 02/26/2024 Currently working through the PO process."/>
  </r>
  <r>
    <x v="1"/>
    <n v="20792"/>
    <n v="1035"/>
    <s v="CP_400206"/>
    <x v="3"/>
    <x v="3"/>
    <x v="3"/>
    <x v="31"/>
    <x v="0"/>
    <s v="Ben Bedock"/>
    <n v="400000"/>
    <n v="483440"/>
    <n v="450775"/>
    <n v="450775"/>
    <n v="450775"/>
    <m/>
    <n v="483440"/>
    <n v="-32665"/>
    <n v="0"/>
    <n v="-32665"/>
    <n v="0"/>
    <n v="0"/>
    <s v="12/18/2023 Construction complete.  Waiting on final invoices to clear to begin the closeout process."/>
  </r>
  <r>
    <x v="1"/>
    <n v="20811"/>
    <m/>
    <s v="CP_400224"/>
    <x v="9"/>
    <x v="9"/>
    <x v="0"/>
    <x v="32"/>
    <x v="1"/>
    <s v="Ben Bedock"/>
    <n v="75000"/>
    <n v="2640"/>
    <n v="2640"/>
    <n v="2640"/>
    <n v="1320"/>
    <m/>
    <n v="0"/>
    <n v="0"/>
    <s v="TBD"/>
    <n v="0"/>
    <m/>
    <m/>
    <s v="03/26/2024 Project currently out to bid.  Bids are due 03/29"/>
  </r>
  <r>
    <x v="0"/>
    <n v="20831"/>
    <n v="8230"/>
    <m/>
    <x v="6"/>
    <x v="6"/>
    <x v="19"/>
    <x v="33"/>
    <x v="0"/>
    <s v="Sean Rewers"/>
    <n v="24000"/>
    <n v="24000"/>
    <n v="24000"/>
    <n v="24000"/>
    <n v="24000"/>
    <m/>
    <n v="0"/>
    <n v="24000"/>
    <n v="0"/>
    <n v="2400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24000"/>
    <n v="0"/>
    <n v="0"/>
    <s v="01/22/2024 Project study and estimated pricing is complete. Project in closeout."/>
  </r>
  <r>
    <x v="0"/>
    <n v="20833"/>
    <n v="8215"/>
    <m/>
    <x v="6"/>
    <x v="6"/>
    <x v="15"/>
    <x v="35"/>
    <x v="2"/>
    <s v="Sean Rewers"/>
    <n v="24000"/>
    <n v="24000"/>
    <n v="24000"/>
    <n v="24000"/>
    <n v="24000"/>
    <m/>
    <n v="0"/>
    <n v="24000"/>
    <n v="0"/>
    <n v="24000"/>
    <n v="0"/>
    <n v="0"/>
    <s v="03/22/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4"/>
    <s v="Ben Bedock"/>
    <n v="499184"/>
    <n v="499184"/>
    <n v="461612"/>
    <n v="461612"/>
    <n v="13000"/>
    <m/>
    <n v="0"/>
    <n v="499184"/>
    <n v="0"/>
    <n v="499184"/>
    <n v="0"/>
    <n v="0"/>
    <s v="03/26/2024 Working through the PO process"/>
  </r>
  <r>
    <x v="3"/>
    <n v="20884"/>
    <m/>
    <m/>
    <x v="3"/>
    <x v="3"/>
    <x v="3"/>
    <x v="38"/>
    <x v="1"/>
    <s v="Ben Bedock"/>
    <n v="0"/>
    <n v="0"/>
    <n v="0"/>
    <n v="0"/>
    <n v="0"/>
    <m/>
    <n v="0"/>
    <n v="0"/>
    <n v="675650"/>
    <n v="675650"/>
    <m/>
    <m/>
    <s v="03/26/2024 VUMO is managing this project.  CPC is helping with the PO process."/>
  </r>
  <r>
    <x v="0"/>
    <n v="20885"/>
    <n v="8676"/>
    <m/>
    <x v="6"/>
    <x v="6"/>
    <x v="20"/>
    <x v="39"/>
    <x v="1"/>
    <s v="Sean Rewers"/>
    <n v="99000"/>
    <n v="98341"/>
    <n v="83231"/>
    <n v="83231"/>
    <n v="0"/>
    <m/>
    <n v="0"/>
    <n v="98341"/>
    <n v="0"/>
    <n v="98341"/>
    <m/>
    <m/>
    <s v="03/22/2024 We are awaiting contract signature by Nashville Machine. We hope to have equipment in around May and will do summer install."/>
  </r>
  <r>
    <x v="1"/>
    <n v="20911"/>
    <n v="8819"/>
    <m/>
    <x v="6"/>
    <x v="6"/>
    <x v="16"/>
    <x v="40"/>
    <x v="4"/>
    <s v="Ben Bedock"/>
    <n v="75000"/>
    <n v="61045"/>
    <n v="54613"/>
    <n v="54613"/>
    <n v="27256.5"/>
    <m/>
    <n v="0"/>
    <n v="61045"/>
    <n v="0"/>
    <n v="61045"/>
    <m/>
    <m/>
    <s v="03/26/2024 Working through the PO process."/>
  </r>
  <r>
    <x v="1"/>
    <n v="20912"/>
    <n v="8822"/>
    <m/>
    <x v="6"/>
    <x v="6"/>
    <x v="12"/>
    <x v="41"/>
    <x v="4"/>
    <s v="Ben Bedock"/>
    <n v="75000"/>
    <n v="59798"/>
    <n v="53366"/>
    <n v="53366"/>
    <n v="2000"/>
    <m/>
    <n v="0"/>
    <n v="59798"/>
    <n v="0"/>
    <n v="59798"/>
    <m/>
    <m/>
    <s v="03/26/2024 Working through the PO process."/>
  </r>
  <r>
    <x v="1"/>
    <n v="20913"/>
    <n v="8818"/>
    <m/>
    <x v="6"/>
    <x v="6"/>
    <x v="14"/>
    <x v="42"/>
    <x v="4"/>
    <s v="Ben Bedock"/>
    <n v="75000"/>
    <n v="96612"/>
    <n v="86900"/>
    <n v="86900"/>
    <n v="2000"/>
    <m/>
    <n v="0"/>
    <n v="96612"/>
    <n v="0"/>
    <n v="96612"/>
    <m/>
    <m/>
    <s v="03/26/2024 Working through the PO process."/>
  </r>
  <r>
    <x v="2"/>
    <n v="20924"/>
    <m/>
    <m/>
    <x v="10"/>
    <x v="2"/>
    <x v="21"/>
    <x v="43"/>
    <x v="1"/>
    <s v="Ben Bedock"/>
    <n v="0"/>
    <n v="0"/>
    <n v="0"/>
    <n v="0"/>
    <n v="0"/>
    <m/>
    <n v="0"/>
    <n v="0"/>
    <n v="0"/>
    <n v="0"/>
    <m/>
    <m/>
    <s v="03/26/2024 Working with the appropriate parties to determine the scope of work."/>
  </r>
  <r>
    <x v="1"/>
    <n v="20925"/>
    <m/>
    <m/>
    <x v="4"/>
    <x v="4"/>
    <x v="4"/>
    <x v="44"/>
    <x v="7"/>
    <s v="Hans Mooy"/>
    <n v="2750000"/>
    <n v="0"/>
    <n v="0"/>
    <n v="0"/>
    <n v="0"/>
    <m/>
    <n v="0"/>
    <n v="0"/>
    <n v="0"/>
    <n v="0"/>
    <m/>
    <m/>
    <s v="03/22/2024 waiting for FY 26 funding"/>
  </r>
  <r>
    <x v="2"/>
    <n v="20934"/>
    <m/>
    <m/>
    <x v="6"/>
    <x v="6"/>
    <x v="22"/>
    <x v="45"/>
    <x v="5"/>
    <s v="Sean Rewers"/>
    <m/>
    <n v="0"/>
    <n v="0"/>
    <n v="0"/>
    <n v="0"/>
    <m/>
    <n v="0"/>
    <n v="0"/>
    <n v="0"/>
    <n v="0"/>
    <m/>
    <m/>
    <s v="New project"/>
  </r>
  <r>
    <x v="2"/>
    <n v="20936"/>
    <n v="8814"/>
    <m/>
    <x v="6"/>
    <x v="6"/>
    <x v="14"/>
    <x v="46"/>
    <x v="1"/>
    <s v="Jay Surprenant"/>
    <n v="0"/>
    <n v="0"/>
    <n v="0"/>
    <n v="0"/>
    <n v="0"/>
    <m/>
    <n v="0"/>
    <n v="0"/>
    <n v="0"/>
    <n v="0"/>
    <m/>
    <m/>
    <s v="03/29/2024 Bids due 3/29.  Will award in April if budget is approved."/>
  </r>
  <r>
    <x v="2"/>
    <n v="20940"/>
    <m/>
    <m/>
    <x v="7"/>
    <x v="7"/>
    <x v="13"/>
    <x v="47"/>
    <x v="8"/>
    <s v="Sean Rewers"/>
    <m/>
    <n v="0"/>
    <n v="0"/>
    <n v="0"/>
    <n v="0"/>
    <m/>
    <n v="0"/>
    <n v="0"/>
    <n v="0"/>
    <n v="0"/>
    <m/>
    <m/>
    <s v="New project"/>
  </r>
  <r>
    <x v="0"/>
    <n v="20945"/>
    <m/>
    <m/>
    <x v="11"/>
    <x v="9"/>
    <x v="23"/>
    <x v="48"/>
    <x v="1"/>
    <s v="Sean Rewers"/>
    <n v="99000"/>
    <n v="99000"/>
    <n v="75900"/>
    <n v="75900"/>
    <n v="0"/>
    <m/>
    <n v="0"/>
    <n v="99000"/>
    <n v="0"/>
    <n v="99000"/>
    <s v="TBD"/>
    <m/>
    <s v="03/22/2024 We are awaiting PO for Nashville Machine. They will start work as soon as PO is received."/>
  </r>
  <r>
    <x v="2"/>
    <n v="20957"/>
    <m/>
    <m/>
    <x v="6"/>
    <x v="6"/>
    <x v="19"/>
    <x v="49"/>
    <x v="8"/>
    <s v="Hans Mooy"/>
    <n v="500000"/>
    <n v="0"/>
    <n v="0"/>
    <n v="0"/>
    <n v="0"/>
    <m/>
    <n v="0"/>
    <n v="0"/>
    <s v="TBD"/>
    <n v="0"/>
    <m/>
    <m/>
    <s v="New project"/>
  </r>
  <r>
    <x v="2"/>
    <n v="20958"/>
    <m/>
    <m/>
    <x v="6"/>
    <x v="6"/>
    <x v="24"/>
    <x v="50"/>
    <x v="8"/>
    <s v="Ben Bedock"/>
    <n v="290000"/>
    <n v="0"/>
    <n v="0"/>
    <n v="0"/>
    <n v="0"/>
    <m/>
    <n v="0"/>
    <n v="0"/>
    <n v="0"/>
    <n v="0"/>
    <s v="TBD"/>
    <m/>
    <s v="New projec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FDE441-07FC-4B79-B87E-1615D616C4F0}"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1" firstHeaderRow="0" firstDataRow="1" firstDataCol="1"/>
  <pivotFields count="23">
    <pivotField showAll="0">
      <items count="5">
        <item x="1"/>
        <item x="0"/>
        <item x="2"/>
        <item x="3"/>
        <item t="default"/>
      </items>
    </pivotField>
    <pivotField showAll="0"/>
    <pivotField showAll="0"/>
    <pivotField showAll="0"/>
    <pivotField axis="axisRow" showAll="0">
      <items count="14">
        <item x="6"/>
        <item x="4"/>
        <item x="5"/>
        <item x="7"/>
        <item x="3"/>
        <item x="1"/>
        <item x="0"/>
        <item x="2"/>
        <item x="8"/>
        <item m="1" x="12"/>
        <item x="10"/>
        <item x="9"/>
        <item x="11"/>
        <item t="default"/>
      </items>
    </pivotField>
    <pivotField showAll="0">
      <items count="12">
        <item h="1" x="6"/>
        <item h="1" x="4"/>
        <item h="1" x="5"/>
        <item h="1" x="7"/>
        <item x="3"/>
        <item h="1" x="2"/>
        <item h="1" x="9"/>
        <item h="1" x="8"/>
        <item h="1" x="0"/>
        <item h="1" x="1"/>
        <item h="1" m="1" x="10"/>
        <item t="default"/>
      </items>
    </pivotField>
    <pivotField showAll="0">
      <items count="27">
        <item h="1" x="13"/>
        <item h="1" x="12"/>
        <item h="1" x="20"/>
        <item h="1" x="4"/>
        <item h="1" x="6"/>
        <item h="1" x="16"/>
        <item h="1" x="5"/>
        <item h="1" x="21"/>
        <item h="1" x="24"/>
        <item h="1" x="2"/>
        <item h="1" x="7"/>
        <item h="1" x="9"/>
        <item x="3"/>
        <item h="1" x="1"/>
        <item h="1" x="22"/>
        <item h="1" x="0"/>
        <item h="1" x="17"/>
        <item h="1" x="11"/>
        <item h="1" x="10"/>
        <item h="1" x="19"/>
        <item h="1" x="15"/>
        <item h="1" x="23"/>
        <item h="1" x="18"/>
        <item h="1" m="1" x="25"/>
        <item h="1" x="14"/>
        <item h="1" x="8"/>
        <item t="default"/>
      </items>
    </pivotField>
    <pivotField axis="axisRow" showAll="0">
      <items count="57">
        <item x="18"/>
        <item x="17"/>
        <item x="4"/>
        <item m="1" x="53"/>
        <item x="6"/>
        <item x="24"/>
        <item x="2"/>
        <item x="8"/>
        <item x="19"/>
        <item x="11"/>
        <item x="3"/>
        <item x="31"/>
        <item x="1"/>
        <item x="25"/>
        <item x="14"/>
        <item x="0"/>
        <item x="27"/>
        <item x="16"/>
        <item x="12"/>
        <item x="29"/>
        <item x="35"/>
        <item x="33"/>
        <item x="28"/>
        <item x="20"/>
        <item x="34"/>
        <item x="23"/>
        <item x="36"/>
        <item x="13"/>
        <item x="10"/>
        <item x="9"/>
        <item x="5"/>
        <item m="1" x="51"/>
        <item x="21"/>
        <item x="22"/>
        <item x="37"/>
        <item m="1" x="52"/>
        <item x="30"/>
        <item x="38"/>
        <item m="1" x="54"/>
        <item x="39"/>
        <item x="40"/>
        <item x="41"/>
        <item x="42"/>
        <item m="1" x="55"/>
        <item x="43"/>
        <item x="44"/>
        <item x="45"/>
        <item x="46"/>
        <item x="47"/>
        <item x="7"/>
        <item x="15"/>
        <item x="26"/>
        <item x="32"/>
        <item x="48"/>
        <item x="49"/>
        <item x="50"/>
        <item t="default"/>
      </items>
    </pivotField>
    <pivotField axis="axisRow" showAll="0">
      <items count="11">
        <item x="4"/>
        <item x="7"/>
        <item x="0"/>
        <item x="3"/>
        <item x="5"/>
        <item x="2"/>
        <item x="1"/>
        <item x="6"/>
        <item m="1" x="9"/>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showAll="0"/>
    <pivotField showAll="0"/>
    <pivotField showAll="0"/>
    <pivotField numFmtId="164" showAll="0"/>
    <pivotField showAll="0"/>
  </pivotFields>
  <rowFields count="3">
    <field x="4"/>
    <field x="8"/>
    <field x="7"/>
  </rowFields>
  <rowItems count="8">
    <i>
      <x v="4"/>
    </i>
    <i r="1">
      <x v="2"/>
    </i>
    <i r="2">
      <x v="11"/>
    </i>
    <i r="1">
      <x v="5"/>
    </i>
    <i r="2">
      <x v="10"/>
    </i>
    <i r="1">
      <x v="6"/>
    </i>
    <i r="2">
      <x v="37"/>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C6F0B60-F051-4B0E-AFB0-F9ACA4AAEBE8}"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E13" firstHeaderRow="0" firstDataRow="1" firstDataCol="1"/>
  <pivotFields count="23">
    <pivotField showAll="0"/>
    <pivotField dataField="1" showAll="0"/>
    <pivotField showAll="0"/>
    <pivotField showAll="0"/>
    <pivotField showAll="0"/>
    <pivotField showAll="0"/>
    <pivotField showAll="0"/>
    <pivotField showAll="0"/>
    <pivotField axis="axisRow" showAll="0">
      <items count="11">
        <item x="4"/>
        <item x="7"/>
        <item x="0"/>
        <item x="3"/>
        <item x="5"/>
        <item x="2"/>
        <item x="1"/>
        <item x="6"/>
        <item m="1" x="9"/>
        <item x="8"/>
        <item t="default"/>
      </items>
    </pivotField>
    <pivotField showAll="0"/>
    <pivotField numFmtId="165" showAll="0"/>
    <pivotField numFmtId="165" showAll="0"/>
    <pivotField numFmtId="165" showAll="0"/>
    <pivotField numFmtId="165" showAll="0"/>
    <pivotField dataField="1" numFmtId="165" showAll="0"/>
    <pivotField showAll="0"/>
    <pivotField dataField="1" numFmtId="164" showAll="0"/>
    <pivotField dataField="1" showAll="0"/>
    <pivotField showAll="0"/>
    <pivotField showAll="0"/>
    <pivotField showAll="0"/>
    <pivotField numFmtId="164" showAll="0"/>
    <pivotField showAll="0"/>
  </pivotFields>
  <rowFields count="1">
    <field x="8"/>
  </rowFields>
  <rowItems count="10">
    <i>
      <x/>
    </i>
    <i>
      <x v="1"/>
    </i>
    <i>
      <x v="2"/>
    </i>
    <i>
      <x v="3"/>
    </i>
    <i>
      <x v="4"/>
    </i>
    <i>
      <x v="5"/>
    </i>
    <i>
      <x v="6"/>
    </i>
    <i>
      <x v="7"/>
    </i>
    <i>
      <x v="9"/>
    </i>
    <i t="grand">
      <x/>
    </i>
  </rowItems>
  <colFields count="1">
    <field x="-2"/>
  </colFields>
  <colItems count="4">
    <i>
      <x/>
    </i>
    <i i="1">
      <x v="1"/>
    </i>
    <i i="2">
      <x v="2"/>
    </i>
    <i i="3">
      <x v="3"/>
    </i>
  </colItems>
  <dataFields count="4">
    <dataField name="Actual Costs" fld="14" baseField="8" baseItem="0" numFmtId="3"/>
    <dataField name="FY23 FRP Cash" fld="16" baseField="8" baseItem="0" numFmtId="3"/>
    <dataField name="FY24 FRP Cash" fld="17" baseField="8" baseItem="0" numFmtId="3"/>
    <dataField name="Count of eBuilder" fld="1" subtotal="count" baseField="0" baseItem="0"/>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349783290">
      <items count="4">
        <i x="1" s="1"/>
        <i x="3" s="1"/>
        <i x="0" s="1" nd="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349783290">
      <items count="26">
        <i x="3" s="1"/>
        <i x="13" nd="1"/>
        <i x="12" nd="1"/>
        <i x="20" nd="1"/>
        <i x="4" nd="1"/>
        <i x="6" nd="1"/>
        <i x="16" nd="1"/>
        <i x="5" nd="1"/>
        <i x="21" nd="1"/>
        <i x="24" nd="1"/>
        <i x="2" nd="1"/>
        <i x="7" nd="1"/>
        <i x="9" nd="1"/>
        <i x="1" nd="1"/>
        <i x="22" nd="1"/>
        <i x="0" nd="1"/>
        <i x="17" nd="1"/>
        <i x="11" nd="1"/>
        <i x="10" nd="1"/>
        <i x="19" nd="1"/>
        <i x="15" nd="1"/>
        <i x="23" nd="1"/>
        <i x="18" nd="1"/>
        <i x="25" nd="1"/>
        <i x="14" nd="1"/>
        <i x="8"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349783290">
      <items count="11">
        <i x="3" s="1"/>
        <i x="6" nd="1"/>
        <i x="4" nd="1"/>
        <i x="5" nd="1"/>
        <i x="7" nd="1"/>
        <i x="2" nd="1"/>
        <i x="9" nd="1"/>
        <i x="8" nd="1"/>
        <i x="0" nd="1"/>
        <i x="1" nd="1"/>
        <i x="1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349783290">
      <items count="10">
        <i x="1" s="1"/>
        <i x="0" s="1"/>
        <i x="2" s="1"/>
        <i x="6" s="1" nd="1"/>
        <i x="4" s="1" nd="1"/>
        <i x="7" s="1" nd="1"/>
        <i x="3" s="1" nd="1"/>
        <i x="5" s="1" nd="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7" dT="2023-08-23T18:07:53.49" personId="{25485ED3-42D9-422C-9A77-5F76F434CCD0}" id="{E105EA63-7C78-41C4-8D8F-2A5203F081DB}">
    <text>Feasibility study to occur FY24 as opex cost. Unsure timing of eventual construction.</text>
  </threadedComment>
  <threadedComment ref="I38" dT="2023-08-23T18:07:53.49" personId="{25485ED3-42D9-422C-9A77-5F76F434CCD0}" id="{E5436728-87D0-492B-83F9-14F3FA74D779}">
    <text>Feasibility study to occur FY24 as opex cost. Unsure timing of eventual construction.</text>
  </threadedComment>
  <threadedComment ref="I39"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84375" customWidth="1"/>
  </cols>
  <sheetData>
    <row r="2" spans="2:9" x14ac:dyDescent="0.4">
      <c r="I2" s="171"/>
    </row>
    <row r="4" spans="2:9" ht="20.6" x14ac:dyDescent="0.55000000000000004">
      <c r="B4" s="188" t="s">
        <v>295</v>
      </c>
    </row>
    <row r="6" spans="2:9" x14ac:dyDescent="0.4">
      <c r="B6" s="22" t="s">
        <v>296</v>
      </c>
    </row>
    <row r="7" spans="2:9" x14ac:dyDescent="0.4">
      <c r="B7" s="22" t="s">
        <v>301</v>
      </c>
    </row>
    <row r="8" spans="2:9" x14ac:dyDescent="0.4">
      <c r="I8" s="171"/>
    </row>
    <row r="10" spans="2:9" x14ac:dyDescent="0.4">
      <c r="B10" s="22" t="s">
        <v>304</v>
      </c>
    </row>
    <row r="11" spans="2:9" x14ac:dyDescent="0.4">
      <c r="B11" s="22" t="s">
        <v>297</v>
      </c>
    </row>
    <row r="12" spans="2:9" x14ac:dyDescent="0.4">
      <c r="B12" s="22" t="s">
        <v>302</v>
      </c>
    </row>
    <row r="13" spans="2:9" x14ac:dyDescent="0.4">
      <c r="B13" s="22" t="s">
        <v>303</v>
      </c>
    </row>
    <row r="14" spans="2:9" x14ac:dyDescent="0.4">
      <c r="B14" s="22" t="s">
        <v>305</v>
      </c>
    </row>
    <row r="15" spans="2:9" x14ac:dyDescent="0.4">
      <c r="B15" s="22" t="s">
        <v>306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99">
        <f>VLOOKUP(A4,'Project Status'!C:M,11,FALSE)</f>
        <v>22000</v>
      </c>
      <c r="I4" s="202">
        <f>VLOOKUP(B4,'Project Status'!D:N,11,FALSE)</f>
        <v>17500</v>
      </c>
    </row>
    <row r="8" spans="1:11" x14ac:dyDescent="0.4">
      <c r="E8" s="42" t="s">
        <v>124</v>
      </c>
    </row>
    <row r="9" spans="1:11" x14ac:dyDescent="0.4">
      <c r="E9" s="22" t="s">
        <v>215</v>
      </c>
      <c r="F9" s="34" t="s">
        <v>146</v>
      </c>
      <c r="H9" s="43">
        <v>22000</v>
      </c>
      <c r="I9" s="43"/>
    </row>
    <row r="10" spans="1:11" x14ac:dyDescent="0.4">
      <c r="E10" s="22" t="s">
        <v>308</v>
      </c>
      <c r="F10" t="s">
        <v>309</v>
      </c>
      <c r="H10" s="44">
        <v>-4500</v>
      </c>
      <c r="I10" s="44"/>
    </row>
    <row r="18" spans="5:8" x14ac:dyDescent="0.4">
      <c r="E18" s="161" t="s">
        <v>270</v>
      </c>
      <c r="F18" s="162"/>
      <c r="G18" s="161"/>
      <c r="H18" s="163">
        <f>SUM(H9:H17)</f>
        <v>17500</v>
      </c>
    </row>
    <row r="20" spans="5:8" x14ac:dyDescent="0.4">
      <c r="E20" s="164" t="s">
        <v>136</v>
      </c>
      <c r="F20" s="164"/>
      <c r="G20" s="164"/>
      <c r="H20" s="165">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Finalized</v>
      </c>
      <c r="G4" s="11" t="str">
        <f>VLOOKUP(A4,'Project Status'!C:K,9,FALSE)</f>
        <v>Hans Mooy</v>
      </c>
      <c r="H4" s="41">
        <f>VLOOKUP(A4,'Project Status'!C:M,11,FALSE)</f>
        <v>1216485.5</v>
      </c>
      <c r="I4" s="202">
        <f>VLOOKUP(B4,'Project Status'!D:N,11,FALSE)</f>
        <v>1212084.54</v>
      </c>
    </row>
    <row r="8" spans="1:11" x14ac:dyDescent="0.4">
      <c r="E8" s="42" t="s">
        <v>124</v>
      </c>
    </row>
    <row r="9" spans="1:11" x14ac:dyDescent="0.4">
      <c r="E9" s="22" t="s">
        <v>134</v>
      </c>
      <c r="F9" s="34">
        <v>44769</v>
      </c>
      <c r="H9" s="43">
        <v>1216485.5</v>
      </c>
    </row>
    <row r="10" spans="1:11" x14ac:dyDescent="0.4">
      <c r="E10" s="22" t="s">
        <v>377</v>
      </c>
      <c r="F10" s="244" t="s">
        <v>309</v>
      </c>
      <c r="H10" s="43">
        <v>-4400.96</v>
      </c>
    </row>
    <row r="13" spans="1:11" x14ac:dyDescent="0.4">
      <c r="F13" s="10"/>
      <c r="G13" s="10"/>
      <c r="H13" s="46"/>
    </row>
    <row r="18" spans="5:8" x14ac:dyDescent="0.4">
      <c r="E18" s="161" t="s">
        <v>270</v>
      </c>
      <c r="F18" s="162"/>
      <c r="G18" s="161"/>
      <c r="H18" s="163">
        <f>SUM(H9:H17)</f>
        <v>1212084.54</v>
      </c>
    </row>
    <row r="20" spans="5:8" x14ac:dyDescent="0.4">
      <c r="E20" s="164" t="s">
        <v>136</v>
      </c>
      <c r="F20" s="164"/>
      <c r="G20" s="164"/>
      <c r="H20" s="165">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Award</v>
      </c>
      <c r="G4" s="11" t="str">
        <f>VLOOKUP(A4,'Project Status'!C:K,9,FALSE)</f>
        <v>Sean Rewers</v>
      </c>
      <c r="H4" s="99">
        <f>VLOOKUP(A4,'Project Status'!C:M,11,FALSE)</f>
        <v>318057</v>
      </c>
    </row>
    <row r="8" spans="1:11" x14ac:dyDescent="0.4">
      <c r="E8" s="42" t="s">
        <v>124</v>
      </c>
    </row>
    <row r="9" spans="1:11" x14ac:dyDescent="0.4">
      <c r="E9" s="22" t="s">
        <v>215</v>
      </c>
      <c r="F9" s="34" t="s">
        <v>146</v>
      </c>
      <c r="H9" s="43">
        <v>4900</v>
      </c>
    </row>
    <row r="10" spans="1:11" x14ac:dyDescent="0.4">
      <c r="E10" s="33" t="s">
        <v>219</v>
      </c>
      <c r="F10" s="20"/>
      <c r="G10" s="20"/>
      <c r="H10" s="80">
        <v>57200</v>
      </c>
    </row>
    <row r="11" spans="1:11" x14ac:dyDescent="0.4">
      <c r="H11" s="45">
        <f>SUM(H9:H10)</f>
        <v>62100</v>
      </c>
    </row>
    <row r="12" spans="1:11" x14ac:dyDescent="0.4">
      <c r="H12" s="46"/>
    </row>
    <row r="13" spans="1:11" x14ac:dyDescent="0.4">
      <c r="E13" s="22" t="s">
        <v>339</v>
      </c>
      <c r="F13" s="34" t="s">
        <v>338</v>
      </c>
      <c r="G13" s="10"/>
      <c r="H13" s="44">
        <v>11500</v>
      </c>
    </row>
    <row r="14" spans="1:11" x14ac:dyDescent="0.4">
      <c r="E14" s="22" t="s">
        <v>377</v>
      </c>
      <c r="F14" t="s">
        <v>174</v>
      </c>
      <c r="H14" s="44">
        <v>244457</v>
      </c>
    </row>
    <row r="15" spans="1:11" x14ac:dyDescent="0.4">
      <c r="E15" s="161" t="s">
        <v>391</v>
      </c>
      <c r="F15" s="162"/>
      <c r="G15" s="161"/>
      <c r="H15" s="163">
        <f>SUM(H13:H14)</f>
        <v>255957</v>
      </c>
    </row>
    <row r="20" spans="5:8" x14ac:dyDescent="0.4">
      <c r="E20" s="164" t="s">
        <v>136</v>
      </c>
      <c r="F20" s="164"/>
      <c r="G20" s="164"/>
      <c r="H20" s="165">
        <f>H4-H11-H15</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tint="0.499984740745262"/>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2.3828125" bestFit="1" customWidth="1"/>
    <col min="7" max="7" width="13.84375" bestFit="1" customWidth="1"/>
    <col min="8" max="8" width="16.53515625" bestFit="1" customWidth="1"/>
    <col min="9" max="9" width="1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1">
        <f>VLOOKUP(A4,'Project Status'!C:M,11,FALSE)</f>
        <v>1445389</v>
      </c>
      <c r="I4" s="202">
        <f>VLOOKUP(B4,'Project Status'!D:N,11,FALSE)</f>
        <v>1352423.14</v>
      </c>
    </row>
    <row r="8" spans="1:11" x14ac:dyDescent="0.4">
      <c r="E8" s="42" t="s">
        <v>124</v>
      </c>
    </row>
    <row r="9" spans="1:11" x14ac:dyDescent="0.4">
      <c r="E9" s="22" t="s">
        <v>134</v>
      </c>
      <c r="F9" s="34">
        <v>44769</v>
      </c>
      <c r="H9" s="43">
        <v>722694.5</v>
      </c>
    </row>
    <row r="10" spans="1:11" x14ac:dyDescent="0.4">
      <c r="E10" s="33" t="s">
        <v>135</v>
      </c>
      <c r="F10" s="20"/>
      <c r="G10" s="20"/>
      <c r="H10" s="80">
        <f>H4*0.5</f>
        <v>722694.5</v>
      </c>
    </row>
    <row r="11" spans="1:11" x14ac:dyDescent="0.4">
      <c r="H11" s="45">
        <f>SUM(H9:H10)</f>
        <v>1445389</v>
      </c>
    </row>
    <row r="13" spans="1:11" x14ac:dyDescent="0.4">
      <c r="G13" s="10"/>
      <c r="H13" s="46"/>
    </row>
    <row r="18" spans="5:8" x14ac:dyDescent="0.4">
      <c r="E18" s="161" t="s">
        <v>270</v>
      </c>
      <c r="F18" s="162"/>
      <c r="G18" s="161"/>
      <c r="H18" s="163">
        <f>H9</f>
        <v>722694.5</v>
      </c>
    </row>
    <row r="20" spans="5:8" x14ac:dyDescent="0.4">
      <c r="E20" s="164" t="s">
        <v>136</v>
      </c>
      <c r="F20" s="164"/>
      <c r="G20" s="164"/>
      <c r="H20" s="165">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Financial Closeout</v>
      </c>
      <c r="G4" s="11" t="str">
        <f>VLOOKUP(A4,'Project Status'!C:K,9,FALSE)</f>
        <v>Ben Bedock</v>
      </c>
      <c r="H4" s="41">
        <f>VLOOKUP(A4,'Project Status'!C:M,11,FALSE)</f>
        <v>327890</v>
      </c>
      <c r="I4" s="202">
        <f>VLOOKUP(B4,'Project Status'!D:N,11,FALSE)</f>
        <v>280600</v>
      </c>
    </row>
    <row r="8" spans="1:11" x14ac:dyDescent="0.4">
      <c r="E8" s="42" t="s">
        <v>124</v>
      </c>
    </row>
    <row r="9" spans="1:11" x14ac:dyDescent="0.4">
      <c r="E9" s="22" t="s">
        <v>166</v>
      </c>
      <c r="F9" s="34" t="s">
        <v>139</v>
      </c>
      <c r="H9" s="43">
        <v>12900</v>
      </c>
    </row>
    <row r="10" spans="1:11" x14ac:dyDescent="0.4">
      <c r="E10" s="22" t="s">
        <v>166</v>
      </c>
      <c r="F10" t="s">
        <v>146</v>
      </c>
      <c r="H10" s="44">
        <v>2200</v>
      </c>
    </row>
    <row r="11" spans="1:11" x14ac:dyDescent="0.4">
      <c r="E11" s="22" t="s">
        <v>215</v>
      </c>
      <c r="F11" t="s">
        <v>174</v>
      </c>
      <c r="H11" s="44">
        <v>312790</v>
      </c>
    </row>
    <row r="12" spans="1:11" x14ac:dyDescent="0.4">
      <c r="E12" s="22" t="s">
        <v>413</v>
      </c>
      <c r="F12" t="s">
        <v>309</v>
      </c>
      <c r="H12" s="43">
        <v>-47290</v>
      </c>
    </row>
    <row r="18" spans="5:8" x14ac:dyDescent="0.4">
      <c r="E18" s="161" t="s">
        <v>270</v>
      </c>
      <c r="F18" s="162"/>
      <c r="G18" s="161"/>
      <c r="H18" s="163">
        <f>SUM(H9:H17)</f>
        <v>280600</v>
      </c>
    </row>
    <row r="20" spans="5:8" x14ac:dyDescent="0.4">
      <c r="E20" s="164" t="s">
        <v>136</v>
      </c>
      <c r="F20" s="164"/>
      <c r="G20" s="164"/>
      <c r="H20" s="165">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H22" sqref="H22"/>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6" t="s">
        <v>275</v>
      </c>
    </row>
    <row r="3" spans="1:12" x14ac:dyDescent="0.4">
      <c r="A3" s="38" t="s">
        <v>125</v>
      </c>
      <c r="B3" s="37" t="s">
        <v>126</v>
      </c>
      <c r="C3" s="38" t="s">
        <v>127</v>
      </c>
      <c r="D3" s="39" t="s">
        <v>86</v>
      </c>
      <c r="E3" s="39" t="s">
        <v>87</v>
      </c>
      <c r="F3" s="38" t="s">
        <v>128</v>
      </c>
      <c r="G3" s="38" t="s">
        <v>129</v>
      </c>
      <c r="H3" s="40"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1">
        <f>VLOOKUP(A4,'Project Status'!C:M,11,FALSE)</f>
        <v>3800000</v>
      </c>
    </row>
    <row r="5" spans="1:12" x14ac:dyDescent="0.4">
      <c r="H5" s="43"/>
    </row>
    <row r="6" spans="1:12" x14ac:dyDescent="0.4">
      <c r="H6" s="43"/>
      <c r="J6" s="78">
        <v>0.75</v>
      </c>
      <c r="K6" s="78">
        <v>0.25</v>
      </c>
    </row>
    <row r="7" spans="1:12" ht="15" thickBot="1" x14ac:dyDescent="0.45">
      <c r="H7" s="43"/>
      <c r="J7" s="79" t="s">
        <v>179</v>
      </c>
      <c r="K7" s="79" t="s">
        <v>180</v>
      </c>
    </row>
    <row r="8" spans="1:12" x14ac:dyDescent="0.4">
      <c r="E8" s="42" t="s">
        <v>124</v>
      </c>
      <c r="H8" s="43"/>
    </row>
    <row r="9" spans="1:12" x14ac:dyDescent="0.4">
      <c r="E9" s="33" t="s">
        <v>181</v>
      </c>
      <c r="H9" s="75">
        <f>39900+3000+3590</f>
        <v>46490</v>
      </c>
      <c r="J9" s="44"/>
      <c r="K9" s="44"/>
    </row>
    <row r="10" spans="1:12" x14ac:dyDescent="0.4">
      <c r="E10" s="22" t="s">
        <v>175</v>
      </c>
      <c r="F10" t="s">
        <v>174</v>
      </c>
      <c r="H10" s="43">
        <f>J10</f>
        <v>937.5</v>
      </c>
      <c r="I10" s="78"/>
      <c r="J10" s="44">
        <f>L10*J6</f>
        <v>937.5</v>
      </c>
      <c r="K10" s="44">
        <f>L10*K6</f>
        <v>312.5</v>
      </c>
      <c r="L10" s="74">
        <v>1250</v>
      </c>
    </row>
    <row r="11" spans="1:12" x14ac:dyDescent="0.4">
      <c r="E11" s="22" t="s">
        <v>175</v>
      </c>
      <c r="F11" s="34" t="s">
        <v>172</v>
      </c>
      <c r="H11" s="43">
        <f>J11</f>
        <v>61425</v>
      </c>
      <c r="J11" s="44">
        <f>L11*J6</f>
        <v>61425</v>
      </c>
      <c r="K11" s="44">
        <f>L11*K6</f>
        <v>20475</v>
      </c>
      <c r="L11" s="74">
        <v>81900</v>
      </c>
    </row>
    <row r="12" spans="1:12" x14ac:dyDescent="0.4">
      <c r="E12" s="33" t="s">
        <v>182</v>
      </c>
      <c r="F12" s="34"/>
      <c r="H12" s="75">
        <f>K10+K11</f>
        <v>20787.5</v>
      </c>
      <c r="J12" s="44"/>
      <c r="K12" s="44"/>
    </row>
    <row r="13" spans="1:12" x14ac:dyDescent="0.4">
      <c r="E13" s="22" t="s">
        <v>226</v>
      </c>
      <c r="F13" t="s">
        <v>221</v>
      </c>
      <c r="H13" s="111">
        <f>J13</f>
        <v>7500</v>
      </c>
      <c r="J13" s="44">
        <f>L13*J6</f>
        <v>7500</v>
      </c>
      <c r="K13" s="44">
        <f>L13*K6</f>
        <v>2500</v>
      </c>
      <c r="L13" s="74">
        <v>10000</v>
      </c>
    </row>
    <row r="14" spans="1:12" x14ac:dyDescent="0.4">
      <c r="E14" s="33" t="s">
        <v>227</v>
      </c>
      <c r="H14" s="109">
        <f>K13</f>
        <v>2500</v>
      </c>
      <c r="J14" s="44"/>
      <c r="K14" s="44"/>
    </row>
    <row r="15" spans="1:12" x14ac:dyDescent="0.4">
      <c r="E15" s="33" t="s">
        <v>339</v>
      </c>
      <c r="F15" t="s">
        <v>340</v>
      </c>
      <c r="H15" s="109">
        <v>3660360</v>
      </c>
      <c r="J15" s="44"/>
      <c r="K15" s="44"/>
    </row>
    <row r="16" spans="1:12" x14ac:dyDescent="0.4">
      <c r="J16" s="44" t="s">
        <v>341</v>
      </c>
      <c r="K16" s="44"/>
    </row>
    <row r="17" spans="5:8" x14ac:dyDescent="0.4">
      <c r="H17" s="45">
        <f>SUM(H9:H16)</f>
        <v>3800000</v>
      </c>
    </row>
    <row r="19" spans="5:8" x14ac:dyDescent="0.4">
      <c r="F19" s="10"/>
      <c r="G19" s="10"/>
      <c r="H19" s="77"/>
    </row>
    <row r="20" spans="5:8" x14ac:dyDescent="0.4">
      <c r="E20" s="161" t="s">
        <v>270</v>
      </c>
      <c r="F20" s="162"/>
      <c r="G20" s="161"/>
      <c r="H20" s="163">
        <f>H10+H11+H13+H15</f>
        <v>3730222.5</v>
      </c>
    </row>
    <row r="22" spans="5:8" x14ac:dyDescent="0.4">
      <c r="E22" s="164" t="s">
        <v>136</v>
      </c>
      <c r="F22" s="164"/>
      <c r="G22" s="164"/>
      <c r="H22" s="165">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1" tint="0.499984740745262"/>
  </sheetPr>
  <dimension ref="A1:L23"/>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9" max="12" width="15" bestFit="1" customWidth="1"/>
  </cols>
  <sheetData>
    <row r="1" spans="1:12" x14ac:dyDescent="0.4">
      <c r="K1" s="166" t="s">
        <v>275</v>
      </c>
    </row>
    <row r="3" spans="1:12" x14ac:dyDescent="0.4">
      <c r="A3" s="38" t="s">
        <v>125</v>
      </c>
      <c r="B3" s="37" t="s">
        <v>126</v>
      </c>
      <c r="C3" s="38" t="s">
        <v>127</v>
      </c>
      <c r="D3" s="39" t="s">
        <v>86</v>
      </c>
      <c r="E3" s="39" t="s">
        <v>87</v>
      </c>
      <c r="F3" s="38" t="s">
        <v>128</v>
      </c>
      <c r="G3" s="38" t="s">
        <v>129</v>
      </c>
      <c r="H3" s="40" t="s">
        <v>130</v>
      </c>
      <c r="I3" s="198" t="s">
        <v>307</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1">
        <f>VLOOKUP(A4,'Project Status'!C:M,11,FALSE)</f>
        <v>2790000</v>
      </c>
      <c r="I4" s="202">
        <f>VLOOKUP(B4,'Project Status'!D:N,11,FALSE)</f>
        <v>2467989.41</v>
      </c>
    </row>
    <row r="5" spans="1:12" x14ac:dyDescent="0.4">
      <c r="H5" s="43"/>
    </row>
    <row r="6" spans="1:12" x14ac:dyDescent="0.4">
      <c r="H6" s="43"/>
      <c r="J6" s="78"/>
      <c r="K6" s="78"/>
    </row>
    <row r="7" spans="1:12" ht="15" thickBot="1" x14ac:dyDescent="0.45">
      <c r="H7" s="43"/>
      <c r="J7" s="79" t="s">
        <v>179</v>
      </c>
      <c r="K7" s="79" t="s">
        <v>120</v>
      </c>
    </row>
    <row r="8" spans="1:12" x14ac:dyDescent="0.4">
      <c r="E8" s="42" t="s">
        <v>124</v>
      </c>
      <c r="H8" s="43"/>
    </row>
    <row r="9" spans="1:12" x14ac:dyDescent="0.4">
      <c r="E9" t="s">
        <v>239</v>
      </c>
      <c r="F9" t="s">
        <v>139</v>
      </c>
      <c r="H9" s="43">
        <f>J9</f>
        <v>12100</v>
      </c>
      <c r="J9" s="44">
        <v>12100</v>
      </c>
      <c r="K9" s="44">
        <v>6900</v>
      </c>
      <c r="L9" s="74">
        <v>19000</v>
      </c>
    </row>
    <row r="10" spans="1:12" x14ac:dyDescent="0.4">
      <c r="E10" s="33" t="s">
        <v>240</v>
      </c>
      <c r="F10" s="34"/>
      <c r="H10" s="75">
        <f>K9</f>
        <v>6900</v>
      </c>
      <c r="I10" s="78"/>
      <c r="J10" s="44"/>
      <c r="K10" s="44"/>
    </row>
    <row r="11" spans="1:12" x14ac:dyDescent="0.4">
      <c r="E11" s="172" t="s">
        <v>271</v>
      </c>
      <c r="F11" t="s">
        <v>214</v>
      </c>
      <c r="H11" s="43">
        <v>69000</v>
      </c>
      <c r="J11" s="44">
        <v>69000</v>
      </c>
      <c r="K11" s="44">
        <v>32500</v>
      </c>
      <c r="L11" s="74">
        <v>101500</v>
      </c>
    </row>
    <row r="12" spans="1:12" x14ac:dyDescent="0.4">
      <c r="E12" s="33" t="s">
        <v>240</v>
      </c>
      <c r="H12" s="109">
        <v>32500</v>
      </c>
      <c r="J12" s="44"/>
      <c r="K12" s="44"/>
    </row>
    <row r="13" spans="1:12" x14ac:dyDescent="0.4">
      <c r="E13" s="172" t="s">
        <v>324</v>
      </c>
      <c r="F13" t="s">
        <v>146</v>
      </c>
      <c r="H13" s="111">
        <f>SUM(1110000-H11-H9)</f>
        <v>1028900</v>
      </c>
      <c r="J13" s="43">
        <v>1028900</v>
      </c>
      <c r="K13" s="43">
        <v>1640600</v>
      </c>
      <c r="L13" s="74">
        <f>SUM(J13:K13)</f>
        <v>2669500</v>
      </c>
    </row>
    <row r="14" spans="1:12" x14ac:dyDescent="0.4">
      <c r="E14" s="33" t="s">
        <v>288</v>
      </c>
      <c r="H14" s="109">
        <f>SUM(1680000-H12-H10)</f>
        <v>1640600</v>
      </c>
      <c r="J14" s="44"/>
      <c r="K14" s="44"/>
    </row>
    <row r="15" spans="1:12" x14ac:dyDescent="0.4">
      <c r="F15" s="10"/>
      <c r="G15" s="10"/>
      <c r="H15" s="109"/>
    </row>
    <row r="16" spans="1:12" x14ac:dyDescent="0.4">
      <c r="H16" s="45">
        <f>SUM(H9:H14)</f>
        <v>2790000</v>
      </c>
      <c r="J16" s="45">
        <f>SUM(J9:J13)</f>
        <v>1110000</v>
      </c>
      <c r="K16" s="45">
        <f>SUM(K9:K13)</f>
        <v>1680000</v>
      </c>
    </row>
    <row r="18" spans="5:8" x14ac:dyDescent="0.4">
      <c r="E18" s="161" t="s">
        <v>270</v>
      </c>
      <c r="F18" s="162"/>
      <c r="G18" s="161"/>
      <c r="H18" s="163">
        <f>H9+H11+H13</f>
        <v>1110000</v>
      </c>
    </row>
    <row r="20" spans="5:8" x14ac:dyDescent="0.4">
      <c r="E20" s="164" t="s">
        <v>136</v>
      </c>
      <c r="F20" s="164"/>
      <c r="G20" s="164"/>
      <c r="H20" s="165">
        <f>H4-H16</f>
        <v>0</v>
      </c>
    </row>
    <row r="23" spans="5:8" x14ac:dyDescent="0.4">
      <c r="H23" s="44"/>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15234375" bestFit="1" customWidth="1"/>
    <col min="7" max="7" width="11" bestFit="1" customWidth="1"/>
    <col min="8" max="8" width="16.53515625" bestFit="1" customWidth="1"/>
    <col min="10" max="12" width="11.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Status'!C:J,8,FALSE)</f>
        <v>Not Started</v>
      </c>
      <c r="G4" s="11" t="str">
        <f>VLOOKUP(A4,'Project Status'!C:K,9,FALSE)</f>
        <v>Hans Mooy</v>
      </c>
      <c r="H4" s="41">
        <f>VLOOKUP(A4,'Project Status'!C:M,11,FALSE)</f>
        <v>26500</v>
      </c>
    </row>
    <row r="5" spans="1:11" x14ac:dyDescent="0.4">
      <c r="H5" s="43"/>
    </row>
    <row r="6" spans="1:11" x14ac:dyDescent="0.4">
      <c r="H6" s="43"/>
      <c r="J6" s="78"/>
      <c r="K6" s="78"/>
    </row>
    <row r="7" spans="1:11" x14ac:dyDescent="0.4">
      <c r="H7" s="43"/>
    </row>
    <row r="8" spans="1:11" x14ac:dyDescent="0.4">
      <c r="E8" s="42" t="s">
        <v>124</v>
      </c>
      <c r="H8" s="43"/>
    </row>
    <row r="9" spans="1:11" x14ac:dyDescent="0.4">
      <c r="E9" t="s">
        <v>239</v>
      </c>
      <c r="F9" t="s">
        <v>139</v>
      </c>
      <c r="H9" s="43">
        <v>26500</v>
      </c>
    </row>
    <row r="10" spans="1:11" x14ac:dyDescent="0.4">
      <c r="E10" s="22"/>
      <c r="F10" s="34"/>
      <c r="H10" s="43"/>
    </row>
    <row r="11" spans="1:11" x14ac:dyDescent="0.4">
      <c r="E11" s="33"/>
      <c r="F11" s="33"/>
      <c r="G11" s="33"/>
      <c r="H11" s="33"/>
      <c r="I11" s="33"/>
    </row>
    <row r="12" spans="1:11" x14ac:dyDescent="0.4">
      <c r="E12" s="22"/>
      <c r="F12" s="22"/>
      <c r="G12" s="22"/>
      <c r="H12" s="22"/>
      <c r="I12" s="22"/>
    </row>
    <row r="13" spans="1:11" x14ac:dyDescent="0.4">
      <c r="E13" s="33"/>
      <c r="F13" s="33"/>
      <c r="G13" s="33"/>
      <c r="H13" s="33"/>
      <c r="I13" s="33"/>
    </row>
    <row r="14" spans="1:11" x14ac:dyDescent="0.4">
      <c r="J14" s="44"/>
      <c r="K14" s="44"/>
    </row>
    <row r="18" spans="5:8" x14ac:dyDescent="0.4">
      <c r="E18" s="161" t="s">
        <v>270</v>
      </c>
      <c r="F18" s="162"/>
      <c r="G18" s="161"/>
      <c r="H18" s="163">
        <f>SUM(H9:H17)</f>
        <v>26500</v>
      </c>
    </row>
    <row r="20" spans="5:8" x14ac:dyDescent="0.4">
      <c r="E20" s="164" t="s">
        <v>136</v>
      </c>
      <c r="F20" s="164"/>
      <c r="G20" s="164"/>
      <c r="H20" s="165">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1">
        <f>VLOOKUP(A4,'Project Status'!C:M,11,FALSE)</f>
        <v>456850</v>
      </c>
      <c r="I4" s="202">
        <f>VLOOKUP(B4,'Project Status'!D:N,11,FALSE)</f>
        <v>412000</v>
      </c>
    </row>
    <row r="8" spans="1:11" x14ac:dyDescent="0.4">
      <c r="E8" s="42" t="s">
        <v>124</v>
      </c>
    </row>
    <row r="9" spans="1:11" x14ac:dyDescent="0.4">
      <c r="E9" s="22" t="s">
        <v>134</v>
      </c>
      <c r="F9" s="240">
        <v>44769</v>
      </c>
      <c r="H9" s="43">
        <v>79415.5</v>
      </c>
    </row>
    <row r="10" spans="1:11" x14ac:dyDescent="0.4">
      <c r="E10" s="33" t="s">
        <v>137</v>
      </c>
      <c r="F10" s="20"/>
      <c r="G10" s="20"/>
      <c r="H10" s="80">
        <f>372434.5+5000</f>
        <v>377434.5</v>
      </c>
    </row>
    <row r="11" spans="1:11" x14ac:dyDescent="0.4">
      <c r="E11" s="22" t="s">
        <v>355</v>
      </c>
      <c r="F11" t="s">
        <v>309</v>
      </c>
      <c r="H11" s="43">
        <v>-44850</v>
      </c>
    </row>
    <row r="18" spans="5:8" x14ac:dyDescent="0.4">
      <c r="E18" s="161" t="s">
        <v>270</v>
      </c>
      <c r="F18" s="162"/>
      <c r="G18" s="161"/>
      <c r="H18" s="163">
        <f>SUM(H9:H17)</f>
        <v>412000</v>
      </c>
    </row>
    <row r="20" spans="5:8" x14ac:dyDescent="0.4">
      <c r="E20" s="164" t="s">
        <v>136</v>
      </c>
      <c r="F20" s="164"/>
      <c r="G20" s="164"/>
      <c r="H20" s="165">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E10" sqref="E10:H1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99">
        <f>VLOOKUP(A4,'Project Status'!C:M,11,FALSE)</f>
        <v>344155.26</v>
      </c>
      <c r="I4" s="202">
        <f>VLOOKUP(B4,'Project Status'!D:N,11,FALSE)</f>
        <v>307776.26</v>
      </c>
    </row>
    <row r="8" spans="1:11" x14ac:dyDescent="0.4">
      <c r="E8" s="42" t="s">
        <v>124</v>
      </c>
    </row>
    <row r="9" spans="1:11" x14ac:dyDescent="0.4">
      <c r="E9" s="22" t="s">
        <v>271</v>
      </c>
      <c r="F9" s="34" t="s">
        <v>139</v>
      </c>
      <c r="H9" s="43">
        <v>344155.26</v>
      </c>
    </row>
    <row r="10" spans="1:11" x14ac:dyDescent="0.4">
      <c r="E10" s="22" t="s">
        <v>355</v>
      </c>
      <c r="F10" t="s">
        <v>309</v>
      </c>
      <c r="H10" s="43">
        <v>-36379</v>
      </c>
    </row>
    <row r="12" spans="1:11" x14ac:dyDescent="0.4">
      <c r="E12" s="22"/>
    </row>
    <row r="13" spans="1:11" x14ac:dyDescent="0.4">
      <c r="E13" s="22"/>
      <c r="F13" s="10"/>
      <c r="G13" s="10"/>
      <c r="H13" s="46"/>
    </row>
    <row r="14" spans="1:11" x14ac:dyDescent="0.4">
      <c r="E14" s="22"/>
    </row>
    <row r="18" spans="5:8" x14ac:dyDescent="0.4">
      <c r="E18" s="161" t="s">
        <v>270</v>
      </c>
      <c r="F18" s="162"/>
      <c r="G18" s="161"/>
      <c r="H18" s="163">
        <f>SUM(H9:H17)</f>
        <v>307776.26</v>
      </c>
    </row>
    <row r="20" spans="5:8" x14ac:dyDescent="0.4">
      <c r="E20" s="164" t="s">
        <v>136</v>
      </c>
      <c r="F20" s="164"/>
      <c r="G20" s="164"/>
      <c r="H20" s="165">
        <f>I4-H18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K33"/>
  <sheetViews>
    <sheetView zoomScaleNormal="100" workbookViewId="0">
      <selection activeCell="B2" sqref="B2"/>
    </sheetView>
  </sheetViews>
  <sheetFormatPr defaultRowHeight="14.6" x14ac:dyDescent="0.4"/>
  <cols>
    <col min="1" max="1" width="19.84375" customWidth="1"/>
    <col min="2" max="2" width="12.53515625" customWidth="1"/>
    <col min="3" max="5" width="15.3828125" customWidth="1"/>
  </cols>
  <sheetData>
    <row r="1" spans="1:10" s="8" customFormat="1" x14ac:dyDescent="0.4">
      <c r="A1" s="10" t="s">
        <v>189</v>
      </c>
      <c r="B1"/>
      <c r="C1"/>
      <c r="D1"/>
      <c r="E1"/>
    </row>
    <row r="2" spans="1:10" s="8" customFormat="1" x14ac:dyDescent="0.4">
      <c r="A2" s="95" t="s">
        <v>112</v>
      </c>
      <c r="B2" s="94">
        <v>45399</v>
      </c>
      <c r="C2"/>
      <c r="D2"/>
      <c r="E2"/>
    </row>
    <row r="4" spans="1:10" x14ac:dyDescent="0.4">
      <c r="A4" s="10" t="s">
        <v>230</v>
      </c>
      <c r="D4" s="69"/>
    </row>
    <row r="5" spans="1:10" ht="29.15" x14ac:dyDescent="0.4">
      <c r="A5" s="23" t="s">
        <v>86</v>
      </c>
      <c r="B5" s="65" t="s">
        <v>99</v>
      </c>
      <c r="C5" s="134" t="s">
        <v>343</v>
      </c>
      <c r="D5" s="28" t="s">
        <v>344</v>
      </c>
      <c r="E5" s="29" t="s">
        <v>393</v>
      </c>
    </row>
    <row r="6" spans="1:10" x14ac:dyDescent="0.4">
      <c r="A6" t="s">
        <v>194</v>
      </c>
      <c r="B6" s="21">
        <f>Contributions!B5</f>
        <v>1075461.7320675128</v>
      </c>
      <c r="C6" s="57">
        <f>'Shared Building Allocation'!C5*1000000</f>
        <v>3663826</v>
      </c>
      <c r="D6" s="58">
        <f>'Shared Building Allocation'!F5*1000000</f>
        <v>2276289.625</v>
      </c>
      <c r="E6" s="59">
        <f>C6-D6</f>
        <v>1387536.375</v>
      </c>
      <c r="G6" s="207"/>
      <c r="H6" s="207"/>
      <c r="I6" s="207"/>
      <c r="J6" s="207"/>
    </row>
    <row r="7" spans="1:10" x14ac:dyDescent="0.4">
      <c r="A7" t="s">
        <v>196</v>
      </c>
      <c r="B7" s="21">
        <f>Contributions!B6</f>
        <v>121421.42689276834</v>
      </c>
      <c r="C7" s="66">
        <f>'Shared Building Allocation'!C6*1000000</f>
        <v>413652</v>
      </c>
      <c r="D7" s="67">
        <f>'Shared Building Allocation'!F6*1000000</f>
        <v>574290</v>
      </c>
      <c r="E7" s="68">
        <f t="shared" ref="E7:E14" si="0">C7-D7</f>
        <v>-160638</v>
      </c>
      <c r="G7" s="207"/>
      <c r="H7" s="207"/>
      <c r="I7" s="207"/>
      <c r="J7" s="207"/>
    </row>
    <row r="8" spans="1:10" x14ac:dyDescent="0.4">
      <c r="A8" t="s">
        <v>197</v>
      </c>
      <c r="B8" s="21">
        <f>Contributions!B7</f>
        <v>57814.730923479161</v>
      </c>
      <c r="C8" s="66">
        <f>'Shared Building Allocation'!C7*1000000</f>
        <v>196960</v>
      </c>
      <c r="D8" s="67">
        <f>'Shared Building Allocation'!F7*1000000</f>
        <v>96362.5</v>
      </c>
      <c r="E8" s="68">
        <f t="shared" si="0"/>
        <v>100597.5</v>
      </c>
      <c r="G8" s="207"/>
      <c r="H8" s="207"/>
      <c r="I8" s="207"/>
      <c r="J8" s="207"/>
    </row>
    <row r="9" spans="1:10" x14ac:dyDescent="0.4">
      <c r="A9" t="s">
        <v>198</v>
      </c>
      <c r="B9" s="21">
        <f>Contributions!B8</f>
        <v>537962.332719445</v>
      </c>
      <c r="C9" s="66">
        <f>'Shared Building Allocation'!C8*1000000</f>
        <v>1832701</v>
      </c>
      <c r="D9" s="67">
        <f>'Shared Building Allocation'!F8*1000000</f>
        <v>353000</v>
      </c>
      <c r="E9" s="68">
        <f t="shared" si="0"/>
        <v>1479701</v>
      </c>
      <c r="G9" s="207"/>
      <c r="H9" s="207"/>
      <c r="I9" s="207"/>
      <c r="J9" s="207"/>
    </row>
    <row r="10" spans="1:10" x14ac:dyDescent="0.4">
      <c r="A10" t="s">
        <v>199</v>
      </c>
      <c r="B10" s="21">
        <f>Contributions!B9</f>
        <v>120155.48460329951</v>
      </c>
      <c r="C10" s="66">
        <f>'Shared Building Allocation'!C9*1000000</f>
        <v>409339</v>
      </c>
      <c r="D10" s="67">
        <f>'Shared Building Allocation'!F9*1000000</f>
        <v>1206134.5</v>
      </c>
      <c r="E10" s="68">
        <f t="shared" si="0"/>
        <v>-796795.5</v>
      </c>
      <c r="G10" s="207"/>
      <c r="H10" s="207"/>
      <c r="I10" s="207"/>
      <c r="J10" s="207"/>
    </row>
    <row r="11" spans="1:10" x14ac:dyDescent="0.4">
      <c r="A11" t="s">
        <v>201</v>
      </c>
      <c r="B11" s="21">
        <f>Contributions!B10</f>
        <v>280022.39987629937</v>
      </c>
      <c r="C11" s="66">
        <f>'Shared Building Allocation'!C10*1000000</f>
        <v>953965</v>
      </c>
      <c r="D11" s="67">
        <f>'Shared Building Allocation'!F10*1000000</f>
        <v>1036871.8750000001</v>
      </c>
      <c r="E11" s="68">
        <f t="shared" si="0"/>
        <v>-82906.875000000116</v>
      </c>
      <c r="G11" s="207"/>
      <c r="H11" s="207"/>
      <c r="I11" s="207"/>
      <c r="J11" s="207"/>
    </row>
    <row r="12" spans="1:10" x14ac:dyDescent="0.4">
      <c r="A12" t="s">
        <v>200</v>
      </c>
      <c r="B12" s="21">
        <f>Contributions!B11</f>
        <v>106166.70000000001</v>
      </c>
      <c r="C12" s="66">
        <f>'Shared Building Allocation'!C11*1000000</f>
        <v>361683</v>
      </c>
      <c r="D12" s="67">
        <f>'Shared Building Allocation'!F11*1000000</f>
        <v>4900</v>
      </c>
      <c r="E12" s="68">
        <f t="shared" si="0"/>
        <v>356783</v>
      </c>
      <c r="G12" s="207"/>
      <c r="H12" s="207"/>
      <c r="I12" s="207"/>
      <c r="J12" s="207"/>
    </row>
    <row r="13" spans="1:10" x14ac:dyDescent="0.4">
      <c r="A13" t="s">
        <v>195</v>
      </c>
      <c r="B13" s="21">
        <f>Contributions!B12</f>
        <v>59008.361666666671</v>
      </c>
      <c r="C13" s="66">
        <f>'Shared Building Allocation'!C12*1000000</f>
        <v>201027</v>
      </c>
      <c r="D13" s="67">
        <f>'Shared Building Allocation'!F12*1000000</f>
        <v>300000</v>
      </c>
      <c r="E13" s="68">
        <f t="shared" si="0"/>
        <v>-98973</v>
      </c>
      <c r="G13" s="207"/>
      <c r="H13" s="207"/>
      <c r="I13" s="207"/>
      <c r="J13" s="207"/>
    </row>
    <row r="14" spans="1:10" x14ac:dyDescent="0.4">
      <c r="A14" t="s">
        <v>202</v>
      </c>
      <c r="B14" s="21">
        <f>Contributions!B13</f>
        <v>390796.88477064227</v>
      </c>
      <c r="C14" s="66">
        <f>'Shared Building Allocation'!C13*1000000</f>
        <v>1331346</v>
      </c>
      <c r="D14" s="67">
        <f>'Shared Building Allocation'!F13*1000000</f>
        <v>2949437.76</v>
      </c>
      <c r="E14" s="68">
        <f t="shared" si="0"/>
        <v>-1618091.7599999998</v>
      </c>
      <c r="G14" s="207"/>
      <c r="H14" s="207"/>
      <c r="I14" s="207"/>
      <c r="J14" s="207"/>
    </row>
    <row r="15" spans="1:10" x14ac:dyDescent="0.4">
      <c r="A15" s="24"/>
      <c r="B15" s="24">
        <v>2748810.0535201132</v>
      </c>
      <c r="C15" s="63">
        <f>SUM(C6:C14)</f>
        <v>9364499</v>
      </c>
      <c r="D15" s="62">
        <f>SUM(D6:D14)</f>
        <v>8797286.2599999998</v>
      </c>
      <c r="E15" s="61">
        <f>SUM(E6:E14)</f>
        <v>567212.74000000022</v>
      </c>
      <c r="G15" s="207"/>
      <c r="H15" s="207"/>
      <c r="I15" s="207"/>
      <c r="J15" s="207"/>
    </row>
    <row r="16" spans="1:10" x14ac:dyDescent="0.4">
      <c r="A16" s="26"/>
    </row>
    <row r="17" spans="1:11" x14ac:dyDescent="0.4">
      <c r="A17" s="26"/>
      <c r="D17" s="36"/>
    </row>
    <row r="18" spans="1:11" x14ac:dyDescent="0.4">
      <c r="A18" s="26"/>
    </row>
    <row r="19" spans="1:11" s="20" customFormat="1" ht="14.7" customHeight="1" x14ac:dyDescent="0.4">
      <c r="A19" s="10" t="s">
        <v>247</v>
      </c>
      <c r="B19"/>
      <c r="C19"/>
      <c r="D19" s="69" t="s">
        <v>170</v>
      </c>
      <c r="E19"/>
      <c r="J19"/>
      <c r="K19"/>
    </row>
    <row r="20" spans="1:11" s="20" customFormat="1" ht="29.15" x14ac:dyDescent="0.4">
      <c r="A20" s="129" t="s">
        <v>86</v>
      </c>
      <c r="B20" s="130" t="s">
        <v>99</v>
      </c>
      <c r="C20" s="211" t="s">
        <v>343</v>
      </c>
      <c r="D20" s="134" t="s">
        <v>345</v>
      </c>
      <c r="E20" s="135" t="s">
        <v>393</v>
      </c>
      <c r="J20"/>
      <c r="K20"/>
    </row>
    <row r="21" spans="1:11" s="20" customFormat="1" x14ac:dyDescent="0.4">
      <c r="A21" t="s">
        <v>194</v>
      </c>
      <c r="B21" s="21">
        <f>Contributions!F5</f>
        <v>1059147</v>
      </c>
      <c r="C21" s="133">
        <f>Contributions!G5</f>
        <v>4204813.59</v>
      </c>
      <c r="D21" s="57">
        <f>'Shared Building Allocation'!K5*1000000</f>
        <v>2389351.3940000003</v>
      </c>
      <c r="E21" s="137">
        <f>C21-D21</f>
        <v>1815462.1959999995</v>
      </c>
      <c r="I21" s="251"/>
      <c r="J21"/>
      <c r="K21"/>
    </row>
    <row r="22" spans="1:11" s="20" customFormat="1" x14ac:dyDescent="0.4">
      <c r="A22" t="s">
        <v>196</v>
      </c>
      <c r="B22" s="21">
        <f>Contributions!F6</f>
        <v>121421</v>
      </c>
      <c r="C22" s="133">
        <f>Contributions!G6</f>
        <v>482041.37</v>
      </c>
      <c r="D22" s="66">
        <f>'Shared Building Allocation'!K6*1000000</f>
        <v>1916810</v>
      </c>
      <c r="E22" s="138">
        <f t="shared" ref="E22:E29" si="1">C22-D22</f>
        <v>-1434768.63</v>
      </c>
      <c r="I22" s="251"/>
      <c r="J22"/>
      <c r="K22"/>
    </row>
    <row r="23" spans="1:11" s="20" customFormat="1" x14ac:dyDescent="0.4">
      <c r="A23" t="s">
        <v>197</v>
      </c>
      <c r="B23" s="21">
        <f>Contributions!F7</f>
        <v>58263</v>
      </c>
      <c r="C23" s="133">
        <f>Contributions!G7</f>
        <v>231304.11000000002</v>
      </c>
      <c r="D23" s="66">
        <f>'Shared Building Allocation'!K7*1000000</f>
        <v>3660360</v>
      </c>
      <c r="E23" s="138">
        <f t="shared" si="1"/>
        <v>-3429055.89</v>
      </c>
      <c r="I23" s="251"/>
      <c r="J23"/>
      <c r="K23"/>
    </row>
    <row r="24" spans="1:11" s="20" customFormat="1" x14ac:dyDescent="0.4">
      <c r="A24" t="s">
        <v>198</v>
      </c>
      <c r="B24" s="21">
        <f>Contributions!F8</f>
        <v>552478</v>
      </c>
      <c r="C24" s="133">
        <f>Contributions!G8</f>
        <v>2193337.66</v>
      </c>
      <c r="D24" s="66">
        <f>'Shared Building Allocation'!K8*1000000</f>
        <v>2024932.9999999998</v>
      </c>
      <c r="E24" s="138">
        <f t="shared" si="1"/>
        <v>168404.66000000038</v>
      </c>
      <c r="I24" s="251"/>
      <c r="J24"/>
      <c r="K24"/>
    </row>
    <row r="25" spans="1:11" x14ac:dyDescent="0.4">
      <c r="A25" t="s">
        <v>199</v>
      </c>
      <c r="B25" s="21">
        <f>Contributions!F9</f>
        <v>120155</v>
      </c>
      <c r="C25" s="133">
        <f>Contributions!G9</f>
        <v>477015.35000000003</v>
      </c>
      <c r="D25" s="66">
        <f>'Shared Building Allocation'!K9*1000000</f>
        <v>642985</v>
      </c>
      <c r="E25" s="138">
        <f t="shared" si="1"/>
        <v>-165969.64999999997</v>
      </c>
      <c r="I25" s="251"/>
    </row>
    <row r="26" spans="1:11" x14ac:dyDescent="0.4">
      <c r="A26" t="s">
        <v>201</v>
      </c>
      <c r="B26" s="21">
        <f>Contributions!F10</f>
        <v>265674</v>
      </c>
      <c r="C26" s="133">
        <f>Contributions!G10</f>
        <v>1054725.78</v>
      </c>
      <c r="D26" s="66">
        <f>'Shared Building Allocation'!K10*1000000</f>
        <v>-17509.674000000003</v>
      </c>
      <c r="E26" s="138">
        <f t="shared" si="1"/>
        <v>1072235.4540000001</v>
      </c>
      <c r="I26" s="251"/>
    </row>
    <row r="27" spans="1:11" x14ac:dyDescent="0.4">
      <c r="A27" t="s">
        <v>200</v>
      </c>
      <c r="B27" s="21">
        <f>Contributions!F11</f>
        <v>105746</v>
      </c>
      <c r="C27" s="133">
        <f>Contributions!G11</f>
        <v>419811.62</v>
      </c>
      <c r="D27" s="66">
        <f>'Shared Building Allocation'!K11*1000000</f>
        <v>286527</v>
      </c>
      <c r="E27" s="138">
        <f t="shared" si="1"/>
        <v>133284.62</v>
      </c>
      <c r="I27" s="251"/>
    </row>
    <row r="28" spans="1:11" x14ac:dyDescent="0.4">
      <c r="A28" t="s">
        <v>195</v>
      </c>
      <c r="B28" s="21">
        <f>Contributions!F12</f>
        <v>99140</v>
      </c>
      <c r="C28" s="133">
        <f>Contributions!G12</f>
        <v>393585.80000000005</v>
      </c>
      <c r="D28" s="66">
        <f>'Shared Building Allocation'!K12*1000000</f>
        <v>0</v>
      </c>
      <c r="E28" s="138">
        <f t="shared" si="1"/>
        <v>393585.80000000005</v>
      </c>
      <c r="I28" s="251"/>
    </row>
    <row r="29" spans="1:11" x14ac:dyDescent="0.4">
      <c r="A29" t="s">
        <v>202</v>
      </c>
      <c r="B29" s="21">
        <f>Contributions!F13</f>
        <v>396133</v>
      </c>
      <c r="C29" s="133">
        <f>Contributions!G13</f>
        <v>1572648.01</v>
      </c>
      <c r="D29" s="66">
        <f>'Shared Building Allocation'!K13*1000000</f>
        <v>600349.64</v>
      </c>
      <c r="E29" s="138">
        <f t="shared" si="1"/>
        <v>972298.37</v>
      </c>
      <c r="I29" s="251"/>
    </row>
    <row r="30" spans="1:11" x14ac:dyDescent="0.4">
      <c r="A30" s="131"/>
      <c r="B30" s="131">
        <v>2748810.0535201132</v>
      </c>
      <c r="C30" s="132">
        <f>SUM(C21:C29)</f>
        <v>11029283.289999999</v>
      </c>
      <c r="D30" s="63">
        <f>SUM(D21:D29)</f>
        <v>11503806.359999999</v>
      </c>
      <c r="E30" s="136">
        <f>SUM(E21:E29)</f>
        <v>-474523.06999999972</v>
      </c>
      <c r="I30" s="250"/>
    </row>
    <row r="31" spans="1:11" x14ac:dyDescent="0.4">
      <c r="A31" s="20"/>
      <c r="B31" s="20"/>
      <c r="C31" s="203"/>
    </row>
    <row r="32" spans="1:11" x14ac:dyDescent="0.4">
      <c r="C32" s="36"/>
      <c r="D32" s="36"/>
    </row>
    <row r="33" spans="4:4" x14ac:dyDescent="0.4">
      <c r="D33" s="36"/>
    </row>
  </sheetData>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Financial Closeout</v>
      </c>
      <c r="G4" s="11" t="str">
        <f>VLOOKUP(A4,'Project Status'!C:K,9,FALSE)</f>
        <v>Sean Rewers</v>
      </c>
      <c r="H4" s="99">
        <f>VLOOKUP(A4,'Project Status'!C:M,11,FALSE)</f>
        <v>405791</v>
      </c>
      <c r="I4" s="202">
        <f>VLOOKUP(B4,'Project Status'!D:N,11,FALSE)</f>
        <v>362559.64</v>
      </c>
    </row>
    <row r="8" spans="1:11" x14ac:dyDescent="0.4">
      <c r="E8" s="42" t="s">
        <v>124</v>
      </c>
    </row>
    <row r="9" spans="1:11" x14ac:dyDescent="0.4">
      <c r="E9" s="22" t="s">
        <v>232</v>
      </c>
      <c r="F9" s="34" t="s">
        <v>139</v>
      </c>
      <c r="H9" s="43">
        <v>405791</v>
      </c>
    </row>
    <row r="10" spans="1:11" x14ac:dyDescent="0.4">
      <c r="E10" s="22" t="s">
        <v>413</v>
      </c>
      <c r="F10" t="s">
        <v>309</v>
      </c>
      <c r="H10" s="43">
        <v>-43231.360000000001</v>
      </c>
    </row>
    <row r="13" spans="1:11" x14ac:dyDescent="0.4">
      <c r="F13" s="10"/>
      <c r="G13" s="10"/>
      <c r="H13" s="46"/>
    </row>
    <row r="18" spans="5:8" x14ac:dyDescent="0.4">
      <c r="E18" s="161" t="s">
        <v>270</v>
      </c>
      <c r="F18" s="162"/>
      <c r="G18" s="161"/>
      <c r="H18" s="163">
        <f>SUM(H9:H17)</f>
        <v>362559.64</v>
      </c>
    </row>
    <row r="20" spans="5:8" x14ac:dyDescent="0.4">
      <c r="E20" s="164" t="s">
        <v>136</v>
      </c>
      <c r="F20" s="164"/>
      <c r="G20" s="164"/>
      <c r="H20" s="165">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Finalized</v>
      </c>
      <c r="G4" s="11" t="str">
        <f>VLOOKUP(A4,'Project Status'!C:K,9,FALSE)</f>
        <v>Ben Bedock</v>
      </c>
      <c r="H4" s="41">
        <f>VLOOKUP(A4,'Project Status'!C:M,11,FALSE)</f>
        <v>781870</v>
      </c>
      <c r="I4" s="202">
        <f>VLOOKUP(B4,'Project Status'!D:N,11,FALSE)</f>
        <v>722586.68</v>
      </c>
    </row>
    <row r="8" spans="1:11" x14ac:dyDescent="0.4">
      <c r="E8" s="42" t="s">
        <v>124</v>
      </c>
    </row>
    <row r="9" spans="1:11" x14ac:dyDescent="0.4">
      <c r="E9" s="22" t="s">
        <v>166</v>
      </c>
      <c r="F9" s="34" t="s">
        <v>139</v>
      </c>
      <c r="H9" s="110">
        <v>17050</v>
      </c>
    </row>
    <row r="10" spans="1:11" x14ac:dyDescent="0.4">
      <c r="E10" s="22" t="s">
        <v>226</v>
      </c>
      <c r="F10" t="s">
        <v>214</v>
      </c>
      <c r="H10" s="44">
        <v>764820</v>
      </c>
    </row>
    <row r="11" spans="1:11" x14ac:dyDescent="0.4">
      <c r="E11" s="22" t="s">
        <v>395</v>
      </c>
      <c r="F11" t="s">
        <v>408</v>
      </c>
      <c r="H11" s="44">
        <v>-59283.32</v>
      </c>
    </row>
    <row r="18" spans="5:8" x14ac:dyDescent="0.4">
      <c r="E18" s="161" t="s">
        <v>270</v>
      </c>
      <c r="F18" s="162"/>
      <c r="G18" s="161"/>
      <c r="H18" s="163">
        <f>SUM(H9:H17)</f>
        <v>722586.68</v>
      </c>
    </row>
    <row r="20" spans="5:8" x14ac:dyDescent="0.4">
      <c r="E20" s="164" t="s">
        <v>136</v>
      </c>
      <c r="F20" s="164"/>
      <c r="G20" s="164"/>
      <c r="H20" s="165">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828125" bestFit="1" customWidth="1"/>
    <col min="7" max="7" width="11.3046875" bestFit="1" customWidth="1"/>
    <col min="8" max="8" width="16.53515625" bestFit="1" customWidth="1"/>
    <col min="9" max="9" width="1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Financial Closeout</v>
      </c>
      <c r="G4" s="11" t="str">
        <f>VLOOKUP(A4,'Project Status'!C:K,9,FALSE)</f>
        <v>Ben Bedock</v>
      </c>
      <c r="H4" s="41">
        <f>VLOOKUP(A4,'Project Status'!C:M,11,FALSE)</f>
        <v>1232681</v>
      </c>
      <c r="I4" s="202">
        <f>VLOOKUP(B4,'Project Status'!D:N,11,FALSE)</f>
        <v>1113460</v>
      </c>
    </row>
    <row r="8" spans="1:11" x14ac:dyDescent="0.4">
      <c r="E8" s="42" t="s">
        <v>124</v>
      </c>
    </row>
    <row r="9" spans="1:11" x14ac:dyDescent="0.4">
      <c r="E9" t="s">
        <v>239</v>
      </c>
      <c r="F9" s="34" t="s">
        <v>139</v>
      </c>
      <c r="H9" s="43">
        <v>1232681</v>
      </c>
    </row>
    <row r="10" spans="1:11" x14ac:dyDescent="0.4">
      <c r="E10" s="22" t="s">
        <v>413</v>
      </c>
      <c r="F10" t="s">
        <v>309</v>
      </c>
      <c r="H10" s="43">
        <v>-119221</v>
      </c>
    </row>
    <row r="13" spans="1:11" x14ac:dyDescent="0.4">
      <c r="F13" s="10"/>
      <c r="G13" s="10"/>
      <c r="H13" s="46"/>
    </row>
    <row r="18" spans="5:8" x14ac:dyDescent="0.4">
      <c r="E18" s="161" t="s">
        <v>270</v>
      </c>
      <c r="F18" s="162"/>
      <c r="G18" s="161"/>
      <c r="H18" s="163">
        <f>SUM(H9:H17)</f>
        <v>1113460</v>
      </c>
    </row>
    <row r="20" spans="5:8" x14ac:dyDescent="0.4">
      <c r="E20" s="164" t="s">
        <v>136</v>
      </c>
      <c r="F20" s="164"/>
      <c r="G20" s="164"/>
      <c r="H20" s="165">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Financial Closeout</v>
      </c>
      <c r="G4" s="11" t="str">
        <f>VLOOKUP(A4,'Project Status'!C:K,9,FALSE)</f>
        <v>Sean Rewers</v>
      </c>
      <c r="H4" s="41">
        <f>VLOOKUP(A4,'Project Status'!C:M,11,FALSE)</f>
        <v>218202</v>
      </c>
      <c r="I4" s="202">
        <f>VLOOKUP(B4,'Project Status'!D:N,11,FALSE)</f>
        <v>195665</v>
      </c>
    </row>
    <row r="8" spans="1:11" x14ac:dyDescent="0.4">
      <c r="E8" s="42" t="s">
        <v>124</v>
      </c>
    </row>
    <row r="9" spans="1:11" x14ac:dyDescent="0.4">
      <c r="E9" s="22" t="s">
        <v>215</v>
      </c>
      <c r="F9" s="34" t="s">
        <v>139</v>
      </c>
      <c r="H9" s="43">
        <v>218202</v>
      </c>
    </row>
    <row r="10" spans="1:11" x14ac:dyDescent="0.4">
      <c r="E10" s="22" t="s">
        <v>413</v>
      </c>
      <c r="F10" t="s">
        <v>309</v>
      </c>
      <c r="H10" s="43">
        <v>-22537</v>
      </c>
    </row>
    <row r="18" spans="5:8" x14ac:dyDescent="0.4">
      <c r="E18" s="161" t="s">
        <v>270</v>
      </c>
      <c r="F18" s="162"/>
      <c r="G18" s="161"/>
      <c r="H18" s="163">
        <f>SUM(H9:H17)</f>
        <v>195665</v>
      </c>
    </row>
    <row r="20" spans="5:8" x14ac:dyDescent="0.4">
      <c r="E20" s="164" t="s">
        <v>136</v>
      </c>
      <c r="F20" s="164"/>
      <c r="G20" s="164"/>
      <c r="H20" s="165">
        <f>I4-H18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-Phase 1 - FY25</v>
      </c>
      <c r="F4" s="11" t="str">
        <f>VLOOKUP(A4,'Project Status'!C:J,8,FALSE)</f>
        <v>Bidding</v>
      </c>
      <c r="G4" s="11" t="str">
        <f>VLOOKUP(A4,'Project Status'!C:K,9,FALSE)</f>
        <v>Hans Mooy</v>
      </c>
      <c r="H4" s="41">
        <f>VLOOKUP(A4,'Project Status'!C:M,11,FALSE)</f>
        <v>223000</v>
      </c>
    </row>
    <row r="8" spans="1:11" x14ac:dyDescent="0.4">
      <c r="E8" s="42" t="s">
        <v>124</v>
      </c>
    </row>
    <row r="9" spans="1:11" x14ac:dyDescent="0.4">
      <c r="E9" s="22" t="s">
        <v>166</v>
      </c>
      <c r="F9" s="34" t="s">
        <v>139</v>
      </c>
      <c r="H9" s="43">
        <v>53750</v>
      </c>
    </row>
    <row r="10" spans="1:11" x14ac:dyDescent="0.4">
      <c r="E10" s="22" t="s">
        <v>232</v>
      </c>
      <c r="F10" t="s">
        <v>214</v>
      </c>
      <c r="H10" s="44">
        <v>169250</v>
      </c>
    </row>
    <row r="18" spans="5:8" x14ac:dyDescent="0.4">
      <c r="E18" s="161" t="s">
        <v>270</v>
      </c>
      <c r="F18" s="162"/>
      <c r="G18" s="161"/>
      <c r="H18" s="163">
        <f>SUM(H9:H17)</f>
        <v>223000</v>
      </c>
    </row>
    <row r="20" spans="5:8" x14ac:dyDescent="0.4">
      <c r="E20" s="164" t="s">
        <v>136</v>
      </c>
      <c r="F20" s="164"/>
      <c r="G20" s="164"/>
      <c r="H20" s="165">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Financial Closeout</v>
      </c>
      <c r="G4" s="11" t="str">
        <f>VLOOKUP(A4,'Project Status'!C:K,9,FALSE)</f>
        <v>Ben Bedock</v>
      </c>
      <c r="H4" s="99">
        <f>VLOOKUP(A4,'Project Status'!C:M,11,FALSE)</f>
        <v>630554</v>
      </c>
      <c r="I4" s="202">
        <f>VLOOKUP(B4,'Project Status'!D:N,11,FALSE)</f>
        <v>571789</v>
      </c>
    </row>
    <row r="8" spans="1:11" x14ac:dyDescent="0.4">
      <c r="E8" s="42" t="s">
        <v>124</v>
      </c>
    </row>
    <row r="9" spans="1:11" x14ac:dyDescent="0.4">
      <c r="E9" s="22" t="s">
        <v>226</v>
      </c>
      <c r="F9" s="34" t="s">
        <v>139</v>
      </c>
      <c r="H9" s="110">
        <v>2050</v>
      </c>
    </row>
    <row r="10" spans="1:11" x14ac:dyDescent="0.4">
      <c r="E10" s="22" t="s">
        <v>253</v>
      </c>
      <c r="F10" t="s">
        <v>214</v>
      </c>
      <c r="H10" s="43">
        <v>628504</v>
      </c>
    </row>
    <row r="11" spans="1:11" x14ac:dyDescent="0.4">
      <c r="E11" s="22" t="s">
        <v>413</v>
      </c>
      <c r="F11" t="s">
        <v>309</v>
      </c>
      <c r="H11" s="43">
        <v>-58765</v>
      </c>
    </row>
    <row r="18" spans="5:8" x14ac:dyDescent="0.4">
      <c r="E18" s="161" t="s">
        <v>270</v>
      </c>
      <c r="F18" s="162"/>
      <c r="G18" s="161"/>
      <c r="H18" s="163">
        <f>SUM(H9:H17)</f>
        <v>571789</v>
      </c>
    </row>
    <row r="20" spans="5:8" x14ac:dyDescent="0.4">
      <c r="E20" s="164" t="s">
        <v>136</v>
      </c>
      <c r="F20" s="164"/>
      <c r="G20" s="164"/>
      <c r="H20" s="165">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Financial Closeout</v>
      </c>
      <c r="G4" s="11" t="str">
        <f>VLOOKUP(A4,'Project Status'!C:K,9,FALSE)</f>
        <v>Ben Bedock</v>
      </c>
      <c r="H4" s="41">
        <f>VLOOKUP(A4,'Project Status'!C:M,11,FALSE)</f>
        <v>125875</v>
      </c>
      <c r="I4" s="202">
        <f>VLOOKUP(B4,'Project Status'!D:N,11,FALSE)</f>
        <v>114350</v>
      </c>
    </row>
    <row r="8" spans="1:11" x14ac:dyDescent="0.4">
      <c r="E8" s="42" t="s">
        <v>124</v>
      </c>
    </row>
    <row r="9" spans="1:11" x14ac:dyDescent="0.4">
      <c r="E9" t="s">
        <v>284</v>
      </c>
      <c r="F9" s="34" t="s">
        <v>139</v>
      </c>
      <c r="H9" s="43">
        <v>125875</v>
      </c>
    </row>
    <row r="13" spans="1:11" x14ac:dyDescent="0.4">
      <c r="F13" s="10"/>
      <c r="G13" s="10"/>
      <c r="H13" s="46"/>
    </row>
    <row r="18" spans="5:8" x14ac:dyDescent="0.4">
      <c r="E18" s="161" t="s">
        <v>270</v>
      </c>
      <c r="F18" s="162"/>
      <c r="G18" s="161"/>
      <c r="H18" s="163">
        <f>SUM(H9:H17)</f>
        <v>125875</v>
      </c>
    </row>
    <row r="20" spans="5:8" x14ac:dyDescent="0.4">
      <c r="E20" s="164" t="s">
        <v>136</v>
      </c>
      <c r="F20" s="164"/>
      <c r="G20" s="164"/>
      <c r="H20" s="165">
        <f>H4-H18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1">
        <f>VLOOKUP(A4,'Project Status'!C:M,11,FALSE)</f>
        <v>146500</v>
      </c>
    </row>
    <row r="8" spans="1:11" x14ac:dyDescent="0.4">
      <c r="E8" s="42" t="s">
        <v>124</v>
      </c>
    </row>
    <row r="9" spans="1:11" x14ac:dyDescent="0.4">
      <c r="E9" s="22" t="s">
        <v>175</v>
      </c>
      <c r="F9" s="34" t="s">
        <v>139</v>
      </c>
      <c r="H9" s="43">
        <v>135000</v>
      </c>
    </row>
    <row r="10" spans="1:11" x14ac:dyDescent="0.4">
      <c r="E10" s="22" t="s">
        <v>232</v>
      </c>
      <c r="F10" t="s">
        <v>146</v>
      </c>
      <c r="H10" s="44">
        <v>11500</v>
      </c>
    </row>
    <row r="18" spans="5:8" x14ac:dyDescent="0.4">
      <c r="E18" s="161" t="s">
        <v>270</v>
      </c>
      <c r="F18" s="162"/>
      <c r="G18" s="161"/>
      <c r="H18" s="163">
        <f>SUM(H9:H17)</f>
        <v>146500</v>
      </c>
    </row>
    <row r="20" spans="5:8" x14ac:dyDescent="0.4">
      <c r="E20" s="164" t="s">
        <v>136</v>
      </c>
      <c r="F20" s="164"/>
      <c r="G20" s="164"/>
      <c r="H20" s="165">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99">
        <f>VLOOKUP(A4,'Project Status'!C:M,11,FALSE)</f>
        <v>231433</v>
      </c>
    </row>
    <row r="8" spans="1:11" x14ac:dyDescent="0.4">
      <c r="E8" s="42" t="s">
        <v>124</v>
      </c>
    </row>
    <row r="9" spans="1:11" x14ac:dyDescent="0.4">
      <c r="E9" s="22" t="s">
        <v>215</v>
      </c>
      <c r="F9" s="34" t="s">
        <v>139</v>
      </c>
      <c r="H9" s="43">
        <v>195000</v>
      </c>
    </row>
    <row r="10" spans="1:11" x14ac:dyDescent="0.4">
      <c r="E10" s="22" t="s">
        <v>232</v>
      </c>
      <c r="F10" t="s">
        <v>146</v>
      </c>
      <c r="H10" s="43">
        <v>11500</v>
      </c>
    </row>
    <row r="11" spans="1:11" x14ac:dyDescent="0.4">
      <c r="E11" s="22" t="s">
        <v>355</v>
      </c>
      <c r="F11" t="s">
        <v>338</v>
      </c>
      <c r="H11" s="43">
        <v>24933</v>
      </c>
    </row>
    <row r="12" spans="1:11" x14ac:dyDescent="0.4">
      <c r="H12" s="43"/>
    </row>
    <row r="13" spans="1:11" x14ac:dyDescent="0.4">
      <c r="H13" s="43"/>
    </row>
    <row r="14" spans="1:11" x14ac:dyDescent="0.4">
      <c r="H14" s="43"/>
    </row>
    <row r="15" spans="1:11" x14ac:dyDescent="0.4">
      <c r="H15" s="43"/>
    </row>
    <row r="16" spans="1:11" x14ac:dyDescent="0.4">
      <c r="H16" s="43"/>
    </row>
    <row r="17" spans="5:8" x14ac:dyDescent="0.4">
      <c r="H17" s="43"/>
    </row>
    <row r="18" spans="5:8" x14ac:dyDescent="0.4">
      <c r="E18" s="161" t="s">
        <v>270</v>
      </c>
      <c r="F18" s="162"/>
      <c r="G18" s="161"/>
      <c r="H18" s="163">
        <f>SUM(H9:H17)</f>
        <v>231433</v>
      </c>
    </row>
    <row r="20" spans="5:8" x14ac:dyDescent="0.4">
      <c r="E20" s="164" t="s">
        <v>136</v>
      </c>
      <c r="F20" s="164"/>
      <c r="G20" s="164"/>
      <c r="H20" s="165">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Award</v>
      </c>
      <c r="G4" s="11" t="str">
        <f>VLOOKUP(A4,'Project Status'!C:K,9,FALSE)</f>
        <v>Sean Rewers</v>
      </c>
      <c r="H4" s="99">
        <f>VLOOKUP(A4,'Project Status'!C:M,11,FALSE)</f>
        <v>678513</v>
      </c>
    </row>
    <row r="8" spans="1:11" x14ac:dyDescent="0.4">
      <c r="E8" s="42" t="s">
        <v>124</v>
      </c>
    </row>
    <row r="9" spans="1:11" x14ac:dyDescent="0.4">
      <c r="E9" s="22" t="s">
        <v>215</v>
      </c>
      <c r="F9" s="34" t="s">
        <v>139</v>
      </c>
      <c r="H9" s="43">
        <v>24500</v>
      </c>
    </row>
    <row r="10" spans="1:11" x14ac:dyDescent="0.4">
      <c r="E10" s="22" t="s">
        <v>215</v>
      </c>
      <c r="F10" t="s">
        <v>214</v>
      </c>
      <c r="H10" s="43">
        <v>450</v>
      </c>
    </row>
    <row r="11" spans="1:11" x14ac:dyDescent="0.4">
      <c r="E11" s="22" t="s">
        <v>284</v>
      </c>
      <c r="F11" t="s">
        <v>146</v>
      </c>
      <c r="H11" s="43">
        <v>4300</v>
      </c>
    </row>
    <row r="12" spans="1:11" x14ac:dyDescent="0.4">
      <c r="E12" s="22" t="s">
        <v>377</v>
      </c>
      <c r="F12" t="s">
        <v>338</v>
      </c>
      <c r="G12" t="s">
        <v>376</v>
      </c>
      <c r="H12" s="43">
        <v>649263</v>
      </c>
    </row>
    <row r="18" spans="5:8" x14ac:dyDescent="0.4">
      <c r="E18" s="161" t="s">
        <v>270</v>
      </c>
      <c r="F18" s="162"/>
      <c r="G18" s="161"/>
      <c r="H18" s="163">
        <f>SUM(H9:H17)</f>
        <v>678513</v>
      </c>
    </row>
    <row r="20" spans="5:8" x14ac:dyDescent="0.4">
      <c r="E20" s="164" t="s">
        <v>136</v>
      </c>
      <c r="F20" s="164"/>
      <c r="G20" s="164"/>
      <c r="H20" s="165">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58"/>
  <sheetViews>
    <sheetView zoomScaleNormal="100" workbookViewId="0">
      <pane ySplit="5" topLeftCell="A47" activePane="bottomLeft" state="frozen"/>
      <selection activeCell="B2" sqref="B2"/>
      <selection pane="bottomLeft" activeCell="B2" sqref="B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8" width="14" style="43" customWidth="1"/>
  </cols>
  <sheetData>
    <row r="1" spans="1:8" s="8" customFormat="1" x14ac:dyDescent="0.4">
      <c r="B1" s="10" t="s">
        <v>190</v>
      </c>
      <c r="D1" s="10"/>
      <c r="F1" s="70"/>
      <c r="G1" s="70"/>
      <c r="H1" s="70"/>
    </row>
    <row r="2" spans="1:8" s="8" customFormat="1" x14ac:dyDescent="0.4">
      <c r="B2" s="93" t="s">
        <v>112</v>
      </c>
      <c r="C2" s="94">
        <v>45399</v>
      </c>
      <c r="D2" s="34"/>
      <c r="F2" s="70"/>
      <c r="G2" s="70"/>
      <c r="H2" s="70"/>
    </row>
    <row r="4" spans="1:8" x14ac:dyDescent="0.4">
      <c r="B4" s="10" t="s">
        <v>113</v>
      </c>
      <c r="C4" s="10"/>
      <c r="D4" s="10"/>
      <c r="F4" s="71" t="s">
        <v>170</v>
      </c>
      <c r="G4" s="71" t="s">
        <v>171</v>
      </c>
      <c r="H4" s="71" t="s">
        <v>171</v>
      </c>
    </row>
    <row r="5" spans="1:8" ht="43.75" x14ac:dyDescent="0.4">
      <c r="B5" s="64" t="s">
        <v>168</v>
      </c>
      <c r="C5" s="65" t="s">
        <v>167</v>
      </c>
      <c r="D5" s="64" t="s">
        <v>86</v>
      </c>
      <c r="E5" s="23" t="s">
        <v>169</v>
      </c>
      <c r="F5" s="72" t="s">
        <v>225</v>
      </c>
      <c r="G5" s="73" t="s">
        <v>346</v>
      </c>
      <c r="H5" s="126" t="s">
        <v>347</v>
      </c>
    </row>
    <row r="6" spans="1:8" x14ac:dyDescent="0.4">
      <c r="A6" s="108">
        <v>1</v>
      </c>
      <c r="B6" t="str">
        <f>VLOOKUP(C6,'Project Status'!C:J,8,FALSE)</f>
        <v>Finalized</v>
      </c>
      <c r="C6" s="60">
        <v>10085</v>
      </c>
      <c r="D6" s="26" t="str">
        <f>VLOOKUP(C6,'Project Status'!C:G,5,FALSE)</f>
        <v>Peabody</v>
      </c>
      <c r="E6" t="str">
        <f>VLOOKUP(C6,'Project Status'!C:I,7,FALSE)</f>
        <v>One Magnolia Circle - Modify/Upgrade Electrical and Grounding</v>
      </c>
      <c r="F6" s="106">
        <f>VLOOKUP(C6,'Project Status'!C:L,10,FALSE)</f>
        <v>17500</v>
      </c>
      <c r="G6" s="107">
        <f>VLOOKUP(C6,'Project Status'!C:R,16,FALSE)</f>
        <v>17500</v>
      </c>
      <c r="H6" s="127">
        <f>VLOOKUP(C6,'Project Status'!C:U,19,FALSE)</f>
        <v>0</v>
      </c>
    </row>
    <row r="7" spans="1:8" x14ac:dyDescent="0.4">
      <c r="A7" s="108">
        <f>A6+1</f>
        <v>2</v>
      </c>
      <c r="B7" t="str">
        <f>VLOOKUP(C7,'Project Status'!C:J,8,FALSE)</f>
        <v>Finalized</v>
      </c>
      <c r="C7" s="60">
        <v>10098</v>
      </c>
      <c r="D7" s="26" t="str">
        <f>VLOOKUP(C7,'Project Status'!C:G,5,FALSE)</f>
        <v>SOM Basic Sciences</v>
      </c>
      <c r="E7" t="str">
        <f>VLOOKUP(C7,'Project Status'!C:I,7,FALSE)</f>
        <v>MRB III - 4th Floor - Replace Controls (Phase 2)</v>
      </c>
      <c r="F7" s="106">
        <f>VLOOKUP(C7,'Project Status'!C:L,10,FALSE)</f>
        <v>1216485.5</v>
      </c>
      <c r="G7" s="107">
        <f>VLOOKUP(C7,'Project Status'!C:R,16,FALSE)</f>
        <v>1216485.5</v>
      </c>
      <c r="H7" s="127">
        <f>VLOOKUP(C7,'Project Status'!C:U,19,FALSE)</f>
        <v>-4400.96</v>
      </c>
    </row>
    <row r="8" spans="1:8" x14ac:dyDescent="0.4">
      <c r="A8" s="108">
        <f t="shared" ref="A8:A56" si="0">A7+1</f>
        <v>3</v>
      </c>
      <c r="B8" t="str">
        <f>VLOOKUP(C8,'Project Status'!C:J,8,FALSE)</f>
        <v>Award</v>
      </c>
      <c r="C8" s="60">
        <v>10146</v>
      </c>
      <c r="D8" s="26" t="str">
        <f>VLOOKUP(C8,'Project Status'!C:G,5,FALSE)</f>
        <v>Nursing</v>
      </c>
      <c r="E8" t="str">
        <f>VLOOKUP(C8,'Project Status'!C:I,7,FALSE)</f>
        <v>Godchaux Hall - HVAC Upgrade</v>
      </c>
      <c r="F8" s="106">
        <f>VLOOKUP(C8,'Project Status'!C:L,10,FALSE)</f>
        <v>318000</v>
      </c>
      <c r="G8" s="107">
        <f>VLOOKUP(C8,'Project Status'!C:R,16,FALSE)</f>
        <v>4900</v>
      </c>
      <c r="H8" s="127">
        <f>VLOOKUP(C8,'Project Status'!C:U,19,FALSE)</f>
        <v>255957</v>
      </c>
    </row>
    <row r="9" spans="1:8" x14ac:dyDescent="0.4">
      <c r="A9" s="108">
        <f t="shared" si="0"/>
        <v>4</v>
      </c>
      <c r="B9" t="str">
        <f>VLOOKUP(C9,'Project Status'!C:J,8,FALSE)</f>
        <v>Warranty or Construction Closeout</v>
      </c>
      <c r="C9" s="60">
        <v>20179</v>
      </c>
      <c r="D9" s="26" t="str">
        <f>VLOOKUP(C9,'Project Status'!C:G,5,FALSE)</f>
        <v>Law</v>
      </c>
      <c r="E9" t="str">
        <f>VLOOKUP(C9,'Project Status'!C:I,7,FALSE)</f>
        <v>Law School - Fire Alarm System Replacement</v>
      </c>
      <c r="F9" s="106">
        <f>VLOOKUP(C9,'Project Status'!C:L,10,FALSE)</f>
        <v>1445389</v>
      </c>
      <c r="G9" s="107">
        <f>VLOOKUP(C9,'Project Status'!C:R,16,FALSE)</f>
        <v>722694.5</v>
      </c>
      <c r="H9" s="127">
        <f>VLOOKUP(C9,'Project Status'!C:U,19,FALSE)</f>
        <v>0</v>
      </c>
    </row>
    <row r="10" spans="1:8" x14ac:dyDescent="0.4">
      <c r="A10" s="108">
        <f t="shared" si="0"/>
        <v>5</v>
      </c>
      <c r="B10" t="str">
        <f>VLOOKUP(C10,'Project Status'!C:J,8,FALSE)</f>
        <v>Financial Closeout</v>
      </c>
      <c r="C10" s="60">
        <v>20336</v>
      </c>
      <c r="D10" s="26" t="str">
        <f>VLOOKUP(C10,'Project Status'!C:G,5,FALSE)</f>
        <v>Blair</v>
      </c>
      <c r="E10" t="str">
        <f>VLOOKUP(C10,'Project Status'!C:I,7,FALSE)</f>
        <v>Blair School of Music - Elevator #3 Modernization</v>
      </c>
      <c r="F10" s="106">
        <f>VLOOKUP(C10,'Project Status'!C:L,10,FALSE)</f>
        <v>327890</v>
      </c>
      <c r="G10" s="107">
        <f>VLOOKUP(C10,'Project Status'!C:R,16,FALSE)</f>
        <v>327890</v>
      </c>
      <c r="H10" s="127">
        <f>VLOOKUP(C10,'Project Status'!C:U,19,FALSE)</f>
        <v>-47290</v>
      </c>
    </row>
    <row r="11" spans="1:8" x14ac:dyDescent="0.4">
      <c r="A11" s="108">
        <f t="shared" si="0"/>
        <v>6</v>
      </c>
      <c r="B11" t="str">
        <f>VLOOKUP(C11,'Project Status'!C:J,8,FALSE)</f>
        <v>Construction</v>
      </c>
      <c r="C11" s="60">
        <v>20431</v>
      </c>
      <c r="D11" s="26" t="str">
        <f>VLOOKUP(C11,'Project Status'!C:G,5,FALSE)</f>
        <v>Divinity</v>
      </c>
      <c r="E11" t="str">
        <f>VLOOKUP(C11,'Project Status'!C:I,7,FALSE)</f>
        <v>Divinity Air Handling Unit Replacement, (5/6)- Phase 1</v>
      </c>
      <c r="F11" s="106">
        <f>VLOOKUP(C11,'Project Status'!C:L,10,FALSE)</f>
        <v>3800000</v>
      </c>
      <c r="G11" s="107">
        <f>VLOOKUP(C11,'Project Status'!C:R,16,FALSE)</f>
        <v>69862.5</v>
      </c>
      <c r="H11" s="127">
        <f>VLOOKUP(C11,'Project Status'!C:U,19,FALSE)</f>
        <v>3660360</v>
      </c>
    </row>
    <row r="12" spans="1:8" x14ac:dyDescent="0.4">
      <c r="A12" s="108">
        <f t="shared" si="0"/>
        <v>7</v>
      </c>
      <c r="B12" t="str">
        <f>VLOOKUP(C12,'Project Status'!C:J,8,FALSE)</f>
        <v>Warranty or Construction Closeout</v>
      </c>
      <c r="C12" s="60">
        <v>20478</v>
      </c>
      <c r="D12" s="26" t="str">
        <f>VLOOKUP(C12,'Project Status'!C:G,5,FALSE)</f>
        <v>Arts &amp; Science</v>
      </c>
      <c r="E12" t="str">
        <f>VLOOKUP(C12,'Project Status'!C:I,7,FALSE)</f>
        <v>Bryan Building - Swing Space Renovation - A&amp;S Planning</v>
      </c>
      <c r="F12" s="106">
        <f>VLOOKUP(C12,'Project Status'!C:L,10,FALSE)</f>
        <v>2790000</v>
      </c>
      <c r="G12" s="107">
        <f>VLOOKUP(C12,'Project Status'!C:R,16,FALSE)</f>
        <v>81100</v>
      </c>
      <c r="H12" s="127">
        <f>VLOOKUP(C12,'Project Status'!C:U,19,FALSE)</f>
        <v>1028900</v>
      </c>
    </row>
    <row r="13" spans="1:8" x14ac:dyDescent="0.4">
      <c r="A13" s="108">
        <f t="shared" si="0"/>
        <v>8</v>
      </c>
      <c r="B13" t="str">
        <f>VLOOKUP(C13,'Project Status'!C:J,8,FALSE)</f>
        <v>Not Started</v>
      </c>
      <c r="C13" s="60">
        <v>20489</v>
      </c>
      <c r="D13" s="26" t="str">
        <f>VLOOKUP(C13,'Project Status'!C:G,5,FALSE)</f>
        <v>Divinity</v>
      </c>
      <c r="E13" t="str">
        <f>VLOOKUP(C13,'Project Status'!C:I,7,FALSE)</f>
        <v>Divinity Air Handling Unit Replacement,(1/3) - Phase 2 with Benton - FY26</v>
      </c>
      <c r="F13" s="106">
        <f>VLOOKUP(C13,'Project Status'!C:L,10,FALSE)</f>
        <v>4650000</v>
      </c>
      <c r="G13" s="107">
        <f>VLOOKUP(C13,'Project Status'!C:R,16,FALSE)</f>
        <v>26500</v>
      </c>
      <c r="H13" s="127">
        <f>VLOOKUP(C13,'Project Status'!C:U,19,FALSE)</f>
        <v>0</v>
      </c>
    </row>
    <row r="14" spans="1:8" x14ac:dyDescent="0.4">
      <c r="A14" s="108">
        <f t="shared" si="0"/>
        <v>9</v>
      </c>
      <c r="B14" t="str">
        <f>VLOOKUP(C14,'Project Status'!C:J,8,FALSE)</f>
        <v>Finalized</v>
      </c>
      <c r="C14" s="60">
        <v>20497</v>
      </c>
      <c r="D14" s="26" t="str">
        <f>VLOOKUP(C14,'Project Status'!C:G,5,FALSE)</f>
        <v>Peabody</v>
      </c>
      <c r="E14" t="str">
        <f>VLOOKUP(C14,'Project Status'!C:I,7,FALSE)</f>
        <v>Jesup - Roof Replacement</v>
      </c>
      <c r="F14" s="106">
        <f>VLOOKUP(C14,'Project Status'!C:L,10,FALSE)</f>
        <v>456850</v>
      </c>
      <c r="G14" s="107">
        <f>VLOOKUP(C14,'Project Status'!C:R,16,FALSE)</f>
        <v>79415.5</v>
      </c>
      <c r="H14" s="127">
        <f>VLOOKUP(C14,'Project Status'!C:U,19,FALSE)</f>
        <v>-44850</v>
      </c>
    </row>
    <row r="15" spans="1:8" x14ac:dyDescent="0.4">
      <c r="A15" s="108">
        <f t="shared" si="0"/>
        <v>10</v>
      </c>
      <c r="B15" t="str">
        <f>VLOOKUP(C15,'Project Status'!C:J,8,FALSE)</f>
        <v>Finalized</v>
      </c>
      <c r="C15" s="60">
        <v>20506</v>
      </c>
      <c r="D15" s="26" t="str">
        <f>VLOOKUP(C15,'Project Status'!C:G,5,FALSE)</f>
        <v>Peabody</v>
      </c>
      <c r="E15" t="str">
        <f>VLOOKUP(C15,'Project Status'!C:I,7,FALSE)</f>
        <v>Wyatt Center - Window Replacement</v>
      </c>
      <c r="F15" s="106">
        <f>VLOOKUP(C15,'Project Status'!C:L,10,FALSE)</f>
        <v>344155.26</v>
      </c>
      <c r="G15" s="107">
        <f>VLOOKUP(C15,'Project Status'!C:R,16,FALSE)</f>
        <v>344155.26</v>
      </c>
      <c r="H15" s="127">
        <f>VLOOKUP(C15,'Project Status'!C:U,19,FALSE)</f>
        <v>-36379</v>
      </c>
    </row>
    <row r="16" spans="1:8" x14ac:dyDescent="0.4">
      <c r="A16" s="108">
        <f t="shared" si="0"/>
        <v>11</v>
      </c>
      <c r="B16" t="str">
        <f>VLOOKUP(C16,'Project Status'!C:J,8,FALSE)</f>
        <v>Financial Closeout</v>
      </c>
      <c r="C16" s="60">
        <v>20562</v>
      </c>
      <c r="D16" s="26" t="str">
        <f>VLOOKUP(C16,'Project Status'!C:G,5,FALSE)</f>
        <v>Peabody</v>
      </c>
      <c r="E16" t="str">
        <f>VLOOKUP(C16,'Project Status'!C:I,7,FALSE)</f>
        <v>Wyatt Center - VAV Replacement</v>
      </c>
      <c r="F16" s="106">
        <f>VLOOKUP(C16,'Project Status'!C:L,10,FALSE)</f>
        <v>400000</v>
      </c>
      <c r="G16" s="107">
        <f>VLOOKUP(C16,'Project Status'!C:R,16,FALSE)</f>
        <v>405791</v>
      </c>
      <c r="H16" s="127">
        <f>VLOOKUP(C16,'Project Status'!C:U,19,FALSE)</f>
        <v>-43231.360000000001</v>
      </c>
    </row>
    <row r="17" spans="1:8" x14ac:dyDescent="0.4">
      <c r="A17" s="108">
        <f t="shared" si="0"/>
        <v>12</v>
      </c>
      <c r="B17" t="str">
        <f>VLOOKUP(C17,'Project Status'!C:J,8,FALSE)</f>
        <v>Not Started</v>
      </c>
      <c r="C17" s="60">
        <v>20563</v>
      </c>
      <c r="D17" s="26" t="str">
        <f>VLOOKUP(C17,'Project Status'!C:G,5,FALSE)</f>
        <v>Engineering</v>
      </c>
      <c r="E17" t="str">
        <f>VLOOKUP(C17,'Project Status'!C:I,7,FALSE)</f>
        <v>Keck FEL - Roof Replacement</v>
      </c>
      <c r="F17" s="106">
        <f>VLOOKUP(C17,'Project Status'!C:L,10,FALSE)</f>
        <v>386000</v>
      </c>
      <c r="G17" s="107">
        <f>VLOOKUP(C17,'Project Status'!C:R,16,FALSE)</f>
        <v>0</v>
      </c>
      <c r="H17" s="127">
        <f>VLOOKUP(C17,'Project Status'!C:U,19,FALSE)</f>
        <v>0</v>
      </c>
    </row>
    <row r="18" spans="1:8" x14ac:dyDescent="0.4">
      <c r="A18" s="108">
        <f t="shared" si="0"/>
        <v>13</v>
      </c>
      <c r="B18" t="str">
        <f>VLOOKUP(C18,'Project Status'!C:J,8,FALSE)</f>
        <v>Finalized</v>
      </c>
      <c r="C18" s="60">
        <v>20566</v>
      </c>
      <c r="D18" s="26" t="str">
        <f>VLOOKUP(C18,'Project Status'!C:G,5,FALSE)</f>
        <v>Arts &amp; Science</v>
      </c>
      <c r="E18" t="str">
        <f>VLOOKUP(C18,'Project Status'!C:I,7,FALSE)</f>
        <v>SC Chemistry (SC7) - Elevator 1 &amp; 2 Modernization</v>
      </c>
      <c r="F18" s="106">
        <f>VLOOKUP(C18,'Project Status'!C:L,10,FALSE)</f>
        <v>781870</v>
      </c>
      <c r="G18" s="107">
        <f>VLOOKUP(C18,'Project Status'!C:R,16,FALSE)</f>
        <v>781870</v>
      </c>
      <c r="H18" s="127">
        <f>VLOOKUP(C18,'Project Status'!C:U,19,FALSE)</f>
        <v>-59283.32</v>
      </c>
    </row>
    <row r="19" spans="1:8" x14ac:dyDescent="0.4">
      <c r="A19" s="108">
        <f t="shared" si="0"/>
        <v>14</v>
      </c>
      <c r="B19" t="str">
        <f>VLOOKUP(C19,'Project Status'!C:J,8,FALSE)</f>
        <v>Financial Closeout</v>
      </c>
      <c r="C19" s="60">
        <v>20573</v>
      </c>
      <c r="D19" s="26" t="str">
        <f>VLOOKUP(C19,'Project Status'!C:G,5,FALSE)</f>
        <v>Peabody</v>
      </c>
      <c r="E19" t="str">
        <f>VLOOKUP(C19,'Project Status'!C:I,7,FALSE)</f>
        <v>Wyatt Center - Roof Replacement</v>
      </c>
      <c r="F19" s="106">
        <f>VLOOKUP(C19,'Project Status'!C:L,10,FALSE)</f>
        <v>1232681</v>
      </c>
      <c r="G19" s="107">
        <f>VLOOKUP(C19,'Project Status'!C:R,16,FALSE)</f>
        <v>1232681</v>
      </c>
      <c r="H19" s="127">
        <f>VLOOKUP(C19,'Project Status'!C:U,19,FALSE)</f>
        <v>-119221</v>
      </c>
    </row>
    <row r="20" spans="1:8" x14ac:dyDescent="0.4">
      <c r="A20" s="108">
        <f t="shared" si="0"/>
        <v>15</v>
      </c>
      <c r="B20" t="str">
        <f>VLOOKUP(C20,'Project Status'!C:J,8,FALSE)</f>
        <v>Financial Closeout</v>
      </c>
      <c r="C20" s="60">
        <v>20574</v>
      </c>
      <c r="D20" s="26" t="str">
        <f>VLOOKUP(C20,'Project Status'!C:G,5,FALSE)</f>
        <v>SOM Basic Sciences</v>
      </c>
      <c r="E20" t="str">
        <f>VLOOKUP(C20,'Project Status'!C:I,7,FALSE)</f>
        <v>MRB III - Steam Coil Replacement</v>
      </c>
      <c r="F20" s="106">
        <f>VLOOKUP(C20,'Project Status'!C:L,10,FALSE)</f>
        <v>218202</v>
      </c>
      <c r="G20" s="107">
        <f>VLOOKUP(C20,'Project Status'!C:R,16,FALSE)</f>
        <v>218202</v>
      </c>
      <c r="H20" s="127">
        <f>VLOOKUP(C20,'Project Status'!C:U,19,FALSE)</f>
        <v>-22537</v>
      </c>
    </row>
    <row r="21" spans="1:8" x14ac:dyDescent="0.4">
      <c r="A21" s="108">
        <f t="shared" si="0"/>
        <v>16</v>
      </c>
      <c r="B21" t="str">
        <f>VLOOKUP(C21,'Project Status'!C:J,8,FALSE)</f>
        <v>Bidding</v>
      </c>
      <c r="C21" s="60">
        <v>20577</v>
      </c>
      <c r="D21" s="26" t="str">
        <f>VLOOKUP(C21,'Project Status'!C:G,5,FALSE)</f>
        <v>Blair</v>
      </c>
      <c r="E21" t="str">
        <f>VLOOKUP(C21,'Project Status'!C:I,7,FALSE)</f>
        <v>Blair School of Music - AHU - 1 Replacement -Phase 1 - FY25</v>
      </c>
      <c r="F21" s="106">
        <f>VLOOKUP(C21,'Project Status'!C:L,10,FALSE)</f>
        <v>1500000</v>
      </c>
      <c r="G21" s="107">
        <f>VLOOKUP(C21,'Project Status'!C:R,16,FALSE)</f>
        <v>223000</v>
      </c>
      <c r="H21" s="127">
        <f>VLOOKUP(C21,'Project Status'!C:U,19,FALSE)</f>
        <v>0</v>
      </c>
    </row>
    <row r="22" spans="1:8" x14ac:dyDescent="0.4">
      <c r="A22" s="108">
        <f t="shared" si="0"/>
        <v>17</v>
      </c>
      <c r="B22" t="str">
        <f>VLOOKUP(C22,'Project Status'!C:J,8,FALSE)</f>
        <v>Financial Closeout</v>
      </c>
      <c r="C22" s="60">
        <v>20644</v>
      </c>
      <c r="D22" s="26" t="str">
        <f>VLOOKUP(C22,'Project Status'!C:G,5,FALSE)</f>
        <v>Peabody</v>
      </c>
      <c r="E22" t="str">
        <f>VLOOKUP(C22,'Project Status'!C:I,7,FALSE)</f>
        <v>Peabody Administration - Envelope Repairs</v>
      </c>
      <c r="F22" s="106">
        <f>VLOOKUP(C22,'Project Status'!C:L,10,FALSE)</f>
        <v>630554</v>
      </c>
      <c r="G22" s="107">
        <f>VLOOKUP(C22,'Project Status'!C:R,16,FALSE)</f>
        <v>630554</v>
      </c>
      <c r="H22" s="127">
        <f>VLOOKUP(C22,'Project Status'!C:U,19,FALSE)</f>
        <v>-58765</v>
      </c>
    </row>
    <row r="23" spans="1:8" x14ac:dyDescent="0.4">
      <c r="A23" s="108">
        <f t="shared" si="0"/>
        <v>18</v>
      </c>
      <c r="B23" t="str">
        <f>VLOOKUP(C23,'Project Status'!C:J,8,FALSE)</f>
        <v>Financial Closeout</v>
      </c>
      <c r="C23" s="60">
        <v>20645</v>
      </c>
      <c r="D23" s="26" t="str">
        <f>VLOOKUP(C23,'Project Status'!C:G,5,FALSE)</f>
        <v>Arts &amp; Science</v>
      </c>
      <c r="E23" t="str">
        <f>VLOOKUP(C23,'Project Status'!C:I,7,FALSE)</f>
        <v>Benson Old Central - Replace Soffit and Doors</v>
      </c>
      <c r="F23" s="106">
        <f>VLOOKUP(C23,'Project Status'!C:L,10,FALSE)</f>
        <v>125875</v>
      </c>
      <c r="G23" s="107">
        <f>VLOOKUP(C23,'Project Status'!C:R,16,FALSE)</f>
        <v>125875</v>
      </c>
      <c r="H23" s="127">
        <f>VLOOKUP(C23,'Project Status'!C:U,19,FALSE)</f>
        <v>0</v>
      </c>
    </row>
    <row r="24" spans="1:8" x14ac:dyDescent="0.4">
      <c r="A24" s="108">
        <f t="shared" si="0"/>
        <v>19</v>
      </c>
      <c r="B24" t="str">
        <f>VLOOKUP(C24,'Project Status'!C:J,8,FALSE)</f>
        <v>Design</v>
      </c>
      <c r="C24" s="60">
        <v>20667</v>
      </c>
      <c r="D24" s="26" t="str">
        <f>VLOOKUP(C24,'Project Status'!C:G,5,FALSE)</f>
        <v>Engineering</v>
      </c>
      <c r="E24" t="str">
        <f>VLOOKUP(C24,'Project Status'!C:I,7,FALSE)</f>
        <v>1025 16th Avenue - Mechanical and Electrical Upgrades</v>
      </c>
      <c r="F24" s="106">
        <f>VLOOKUP(C24,'Project Status'!C:L,10,FALSE)</f>
        <v>2000000</v>
      </c>
      <c r="G24" s="107">
        <f>VLOOKUP(C24,'Project Status'!C:R,16,FALSE)</f>
        <v>146500</v>
      </c>
      <c r="H24" s="127">
        <f>VLOOKUP(C24,'Project Status'!C:U,19,FALSE)</f>
        <v>2000000</v>
      </c>
    </row>
    <row r="25" spans="1:8" x14ac:dyDescent="0.4">
      <c r="A25" s="108">
        <f t="shared" si="0"/>
        <v>20</v>
      </c>
      <c r="B25" t="str">
        <f>VLOOKUP(C25,'Project Status'!C:J,8,FALSE)</f>
        <v>Design</v>
      </c>
      <c r="C25" s="60">
        <v>20668</v>
      </c>
      <c r="D25" s="26" t="str">
        <f>VLOOKUP(C25,'Project Status'!C:G,5,FALSE)</f>
        <v>Engineering</v>
      </c>
      <c r="E25" t="str">
        <f>VLOOKUP(C25,'Project Status'!C:I,7,FALSE)</f>
        <v>Keck FEL - Mechanical Upgrades</v>
      </c>
      <c r="F25" s="106">
        <f>VLOOKUP(C25,'Project Status'!C:L,10,FALSE)</f>
        <v>0</v>
      </c>
      <c r="G25" s="107">
        <f>VLOOKUP(C25,'Project Status'!C:R,16,FALSE)</f>
        <v>206500</v>
      </c>
      <c r="H25" s="127">
        <f>VLOOKUP(C25,'Project Status'!C:U,19,FALSE)</f>
        <v>24933</v>
      </c>
    </row>
    <row r="26" spans="1:8" x14ac:dyDescent="0.4">
      <c r="A26" s="108">
        <f t="shared" si="0"/>
        <v>21</v>
      </c>
      <c r="B26" t="str">
        <f>VLOOKUP(C26,'Project Status'!C:J,8,FALSE)</f>
        <v>Award</v>
      </c>
      <c r="C26" s="60">
        <v>20698</v>
      </c>
      <c r="D26" s="26" t="str">
        <f>VLOOKUP(C26,'Project Status'!C:G,5,FALSE)</f>
        <v>Arts &amp; Science</v>
      </c>
      <c r="E26" t="str">
        <f>VLOOKUP(C26,'Project Status'!C:I,7,FALSE)</f>
        <v>Wilson Hall - Fire Alarm Replacement</v>
      </c>
      <c r="F26" s="106">
        <f>VLOOKUP(C26,'Project Status'!C:L,10,FALSE)</f>
        <v>680000</v>
      </c>
      <c r="G26" s="107">
        <f>VLOOKUP(C26,'Project Status'!C:R,16,FALSE)</f>
        <v>29250</v>
      </c>
      <c r="H26" s="127">
        <f>VLOOKUP(C26,'Project Status'!C:U,19,FALSE)</f>
        <v>649263</v>
      </c>
    </row>
    <row r="27" spans="1:8" x14ac:dyDescent="0.4">
      <c r="A27" s="108">
        <f t="shared" si="0"/>
        <v>22</v>
      </c>
      <c r="B27" t="str">
        <f>VLOOKUP(C27,'Project Status'!C:J,8,FALSE)</f>
        <v>Finalized</v>
      </c>
      <c r="C27" s="60">
        <v>20700</v>
      </c>
      <c r="D27" s="26" t="str">
        <f>VLOOKUP(C27,'Project Status'!C:G,5,FALSE)</f>
        <v>Arts &amp; Science</v>
      </c>
      <c r="E27" t="str">
        <f>VLOOKUP(C27,'Project Status'!C:I,7,FALSE)</f>
        <v>SC-7 Chemistry - SG-1 Removal and Connection to Central Plant Steam</v>
      </c>
      <c r="F27" s="106">
        <f>VLOOKUP(C27,'Project Status'!C:L,10,FALSE)</f>
        <v>80000</v>
      </c>
      <c r="G27" s="107">
        <f>VLOOKUP(C27,'Project Status'!C:R,16,FALSE)</f>
        <v>79623</v>
      </c>
      <c r="H27" s="127">
        <f>VLOOKUP(C27,'Project Status'!C:U,19,FALSE)</f>
        <v>5954</v>
      </c>
    </row>
    <row r="28" spans="1:8" x14ac:dyDescent="0.4">
      <c r="A28" s="108">
        <f t="shared" si="0"/>
        <v>23</v>
      </c>
      <c r="B28" t="str">
        <f>VLOOKUP(C28,'Project Status'!C:J,8,FALSE)</f>
        <v>Bidding</v>
      </c>
      <c r="C28" s="60">
        <v>20701</v>
      </c>
      <c r="D28" s="26" t="str">
        <f>VLOOKUP(C28,'Project Status'!C:G,5,FALSE)</f>
        <v>Arts &amp; Science</v>
      </c>
      <c r="E28" t="str">
        <f>VLOOKUP(C28,'Project Status'!C:I,7,FALSE)</f>
        <v>SC-5 - Chemical Discharge Replacement</v>
      </c>
      <c r="F28" s="106">
        <f>VLOOKUP(C28,'Project Status'!C:L,10,FALSE)</f>
        <v>500000</v>
      </c>
      <c r="G28" s="107">
        <f>VLOOKUP(C28,'Project Status'!C:R,16,FALSE)</f>
        <v>499093</v>
      </c>
      <c r="H28" s="127">
        <f>VLOOKUP(C28,'Project Status'!C:U,19,FALSE)</f>
        <v>0</v>
      </c>
    </row>
    <row r="29" spans="1:8" x14ac:dyDescent="0.4">
      <c r="A29" s="108">
        <f t="shared" si="0"/>
        <v>24</v>
      </c>
      <c r="B29" t="str">
        <f>VLOOKUP(C29,'Project Status'!C:J,8,FALSE)</f>
        <v>Finalized</v>
      </c>
      <c r="C29" s="60">
        <v>20702</v>
      </c>
      <c r="D29" s="26" t="str">
        <f>VLOOKUP(C29,'Project Status'!C:G,5,FALSE)</f>
        <v>Peabody</v>
      </c>
      <c r="E29" t="str">
        <f>VLOOKUP(C29,'Project Status'!C:I,7,FALSE)</f>
        <v>Wyatt Center - Elevator #2 Modernization</v>
      </c>
      <c r="F29" s="106">
        <f>VLOOKUP(C29,'Project Status'!C:L,10,FALSE)</f>
        <v>225791</v>
      </c>
      <c r="G29" s="107">
        <f>VLOOKUP(C29,'Project Status'!C:R,16,FALSE)</f>
        <v>239341</v>
      </c>
      <c r="H29" s="127">
        <f>VLOOKUP(C29,'Project Status'!C:U,19,FALSE)</f>
        <v>-29922</v>
      </c>
    </row>
    <row r="30" spans="1:8" x14ac:dyDescent="0.4">
      <c r="A30" s="108">
        <f t="shared" si="0"/>
        <v>25</v>
      </c>
      <c r="B30" t="str">
        <f>VLOOKUP(C30,'Project Status'!C:J,8,FALSE)</f>
        <v>Financial Closeout</v>
      </c>
      <c r="C30" s="60">
        <v>20718</v>
      </c>
      <c r="D30" s="26" t="str">
        <f>VLOOKUP(C30,'Project Status'!C:G,5,FALSE)</f>
        <v>Arts &amp; Science</v>
      </c>
      <c r="E30" t="str">
        <f>VLOOKUP(C30,'Project Status'!C:I,7,FALSE)</f>
        <v>Buttrick Hall - 3rd Floor Inequality Renovations</v>
      </c>
      <c r="F30" s="106">
        <f>VLOOKUP(C30,'Project Status'!C:L,10,FALSE)</f>
        <v>715000</v>
      </c>
      <c r="G30" s="107">
        <f>VLOOKUP(C30,'Project Status'!C:R,16,FALSE)</f>
        <v>96166</v>
      </c>
      <c r="H30" s="127">
        <f>VLOOKUP(C30,'Project Status'!C:U,19,FALSE)</f>
        <v>0</v>
      </c>
    </row>
    <row r="31" spans="1:8" x14ac:dyDescent="0.4">
      <c r="A31" s="108">
        <f t="shared" si="0"/>
        <v>26</v>
      </c>
      <c r="B31" t="str">
        <f>VLOOKUP(C31,'Project Status'!C:J,8,FALSE)</f>
        <v>Award</v>
      </c>
      <c r="C31" s="60">
        <v>20723</v>
      </c>
      <c r="D31" s="26" t="str">
        <f>VLOOKUP(C31,'Project Status'!C:G,5,FALSE)</f>
        <v>SOM Basic Sciences</v>
      </c>
      <c r="E31" t="str">
        <f>VLOOKUP(C31,'Project Status'!C:I,7,FALSE)</f>
        <v>MRB III - 9th Floor (with 4 ,5 &amp; 8) - Replace Controls (Phase 3)</v>
      </c>
      <c r="F31" s="106">
        <f>VLOOKUP(C31,'Project Status'!C:L,10,FALSE)</f>
        <v>1610000</v>
      </c>
      <c r="G31" s="107">
        <f>VLOOKUP(C31,'Project Status'!C:R,16,FALSE)</f>
        <v>160500</v>
      </c>
      <c r="H31" s="127">
        <f>VLOOKUP(C31,'Project Status'!C:U,19,FALSE)</f>
        <v>0</v>
      </c>
    </row>
    <row r="32" spans="1:8" x14ac:dyDescent="0.4">
      <c r="A32" s="108">
        <f t="shared" si="0"/>
        <v>27</v>
      </c>
      <c r="B32" t="str">
        <f>VLOOKUP(C32,'Project Status'!C:J,8,FALSE)</f>
        <v>Construction</v>
      </c>
      <c r="C32" s="60">
        <v>20724</v>
      </c>
      <c r="D32" s="26" t="str">
        <f>VLOOKUP(C32,'Project Status'!C:G,5,FALSE)</f>
        <v>Blair</v>
      </c>
      <c r="E32" t="str">
        <f>VLOOKUP(C32,'Project Status'!C:I,7,FALSE)</f>
        <v>Blair School of Music - Steam Line - FY 23</v>
      </c>
      <c r="F32" s="106">
        <f>VLOOKUP(C32,'Project Status'!C:L,10,FALSE)</f>
        <v>1987500</v>
      </c>
      <c r="G32" s="107">
        <f>VLOOKUP(C32,'Project Status'!C:R,16,FALSE)</f>
        <v>23400</v>
      </c>
      <c r="H32" s="127">
        <f>VLOOKUP(C32,'Project Status'!C:U,19,FALSE)</f>
        <v>1964100</v>
      </c>
    </row>
    <row r="33" spans="1:8" x14ac:dyDescent="0.4">
      <c r="A33" s="108">
        <f t="shared" si="0"/>
        <v>28</v>
      </c>
      <c r="B33" t="str">
        <f>VLOOKUP(C33,'Project Status'!C:J,8,FALSE)</f>
        <v>Warranty or Construction Closeout</v>
      </c>
      <c r="C33" s="60">
        <v>20735</v>
      </c>
      <c r="D33" s="26" t="str">
        <f>VLOOKUP(C33,'Project Status'!C:G,5,FALSE)</f>
        <v>Owen</v>
      </c>
      <c r="E33" t="str">
        <f>VLOOKUP(C33,'Project Status'!C:I,7,FALSE)</f>
        <v>Owen - Roof Replacement (Third Level)</v>
      </c>
      <c r="F33" s="106">
        <f>VLOOKUP(C33,'Project Status'!C:L,10,FALSE)</f>
        <v>300000</v>
      </c>
      <c r="G33" s="107">
        <f>VLOOKUP(C33,'Project Status'!C:R,16,FALSE)</f>
        <v>300000</v>
      </c>
      <c r="H33" s="127">
        <f>VLOOKUP(C33,'Project Status'!C:U,19,FALSE)</f>
        <v>0</v>
      </c>
    </row>
    <row r="34" spans="1:8" x14ac:dyDescent="0.4">
      <c r="A34" s="108">
        <f t="shared" si="0"/>
        <v>29</v>
      </c>
      <c r="B34" t="str">
        <f>VLOOKUP(C34,'Project Status'!C:J,8,FALSE)</f>
        <v>Award</v>
      </c>
      <c r="C34" s="60">
        <v>20767</v>
      </c>
      <c r="D34" s="26" t="str">
        <f>VLOOKUP(C34,'Project Status'!C:G,5,FALSE)</f>
        <v>Peabody</v>
      </c>
      <c r="E34" t="str">
        <f>VLOOKUP(C34,'Project Status'!C:I,7,FALSE)</f>
        <v>Six Magnolia Circle - Foundation Repairs</v>
      </c>
      <c r="F34" s="106">
        <f>VLOOKUP(C34,'Project Status'!C:L,10,FALSE)</f>
        <v>149000</v>
      </c>
      <c r="G34" s="107">
        <f>VLOOKUP(C34,'Project Status'!C:R,16,FALSE)</f>
        <v>0</v>
      </c>
      <c r="H34" s="127">
        <f>VLOOKUP(C34,'Project Status'!C:U,19,FALSE)</f>
        <v>148299</v>
      </c>
    </row>
    <row r="35" spans="1:8" x14ac:dyDescent="0.4">
      <c r="A35" s="108">
        <f t="shared" si="0"/>
        <v>30</v>
      </c>
      <c r="B35" t="str">
        <f>VLOOKUP(C35,'Project Status'!C:J,8,FALSE)</f>
        <v>Finalized</v>
      </c>
      <c r="C35" s="60">
        <v>20771</v>
      </c>
      <c r="D35" s="26" t="str">
        <f>VLOOKUP(C35,'Project Status'!C:G,5,FALSE)</f>
        <v>Arts &amp; Science</v>
      </c>
      <c r="E35" t="str">
        <f>VLOOKUP(C35,'Project Status'!C:I,7,FALSE)</f>
        <v>SC4 - Interstitial Space HVAC Modifications</v>
      </c>
      <c r="F35" s="106">
        <f>VLOOKUP(C35,'Project Status'!C:L,10,FALSE)</f>
        <v>25000</v>
      </c>
      <c r="G35" s="107">
        <f>VLOOKUP(C35,'Project Status'!C:R,16,FALSE)</f>
        <v>24997</v>
      </c>
      <c r="H35" s="127">
        <f>VLOOKUP(C35,'Project Status'!C:U,19,FALSE)</f>
        <v>-7025</v>
      </c>
    </row>
    <row r="36" spans="1:8" x14ac:dyDescent="0.4">
      <c r="A36" s="108">
        <f t="shared" si="0"/>
        <v>31</v>
      </c>
      <c r="B36" t="str">
        <f>VLOOKUP(C36,'Project Status'!C:J,8,FALSE)</f>
        <v>Construction</v>
      </c>
      <c r="C36" s="60">
        <v>20772</v>
      </c>
      <c r="D36" s="26" t="str">
        <f>VLOOKUP(C36,'Project Status'!C:G,5,FALSE)</f>
        <v>Owen</v>
      </c>
      <c r="E36" t="str">
        <f>VLOOKUP(C36,'Project Status'!C:I,7,FALSE)</f>
        <v>OGSM Old Mechanical- Slate Roof &amp; Window Replacement</v>
      </c>
      <c r="F36" s="106">
        <f>VLOOKUP(C36,'Project Status'!C:L,10,FALSE)</f>
        <v>3200000</v>
      </c>
      <c r="G36" s="107">
        <f>VLOOKUP(C36,'Project Status'!C:R,16,FALSE)</f>
        <v>0</v>
      </c>
      <c r="H36" s="127">
        <f>VLOOKUP(C36,'Project Status'!C:U,19,FALSE)</f>
        <v>0</v>
      </c>
    </row>
    <row r="37" spans="1:8" x14ac:dyDescent="0.4">
      <c r="A37" s="108">
        <f t="shared" si="0"/>
        <v>32</v>
      </c>
      <c r="B37" t="str">
        <f>VLOOKUP(C37,'Project Status'!C:J,8,FALSE)</f>
        <v>Finalized</v>
      </c>
      <c r="C37" s="60">
        <v>20792</v>
      </c>
      <c r="D37" s="26" t="str">
        <f>VLOOKUP(C37,'Project Status'!C:G,5,FALSE)</f>
        <v>Law</v>
      </c>
      <c r="E37" t="str">
        <f>VLOOKUP(C37,'Project Status'!C:I,7,FALSE)</f>
        <v>Law School - Sections 1, 2, &amp; 3  Roof Replacement</v>
      </c>
      <c r="F37" s="106">
        <f>VLOOKUP(C37,'Project Status'!C:L,10,FALSE)</f>
        <v>400000</v>
      </c>
      <c r="G37" s="107">
        <f>VLOOKUP(C37,'Project Status'!C:R,16,FALSE)</f>
        <v>483440</v>
      </c>
      <c r="H37" s="127">
        <f>VLOOKUP(C37,'Project Status'!C:U,19,FALSE)</f>
        <v>-32665</v>
      </c>
    </row>
    <row r="38" spans="1:8" x14ac:dyDescent="0.4">
      <c r="A38" s="108">
        <f t="shared" si="0"/>
        <v>33</v>
      </c>
      <c r="B38" t="str">
        <f>VLOOKUP(C38,'Project Status'!C:J,8,FALSE)</f>
        <v>Award</v>
      </c>
      <c r="C38" s="60">
        <v>20811</v>
      </c>
      <c r="D38" s="26" t="str">
        <f>VLOOKUP(C38,'Project Status'!C:G,5,FALSE)</f>
        <v>Peabody</v>
      </c>
      <c r="E38" t="str">
        <f>VLOOKUP(C38,'Project Status'!C:I,7,FALSE)</f>
        <v>One Magnolia Circle - Retaining Wall Repair</v>
      </c>
      <c r="F38" s="106">
        <f>VLOOKUP(C38,'Project Status'!C:L,10,FALSE)</f>
        <v>75000</v>
      </c>
      <c r="G38" s="107">
        <f>VLOOKUP(C38,'Project Status'!C:R,16,FALSE)</f>
        <v>0</v>
      </c>
      <c r="H38" s="127">
        <f>VLOOKUP(C38,'Project Status'!C:U,19,FALSE)</f>
        <v>285235</v>
      </c>
    </row>
    <row r="39" spans="1:8" x14ac:dyDescent="0.4">
      <c r="A39" s="108">
        <f t="shared" si="0"/>
        <v>34</v>
      </c>
      <c r="B39" t="str">
        <f>VLOOKUP(C39,'Project Status'!C:J,8,FALSE)</f>
        <v>Finalized</v>
      </c>
      <c r="C39" s="60">
        <v>20831</v>
      </c>
      <c r="D39" s="26" t="str">
        <f>VLOOKUP(C39,'Project Status'!C:G,5,FALSE)</f>
        <v>Arts &amp; Science</v>
      </c>
      <c r="E39" t="str">
        <f>VLOOKUP(C39,'Project Status'!C:I,7,FALSE)</f>
        <v>SC6 - HVAC Upgrades - Feasibility Study</v>
      </c>
      <c r="F39" s="106">
        <f>VLOOKUP(C39,'Project Status'!C:L,10,FALSE)</f>
        <v>24000</v>
      </c>
      <c r="G39" s="107">
        <f>VLOOKUP(C39,'Project Status'!C:R,16,FALSE)</f>
        <v>0</v>
      </c>
      <c r="H39" s="127">
        <f>VLOOKUP(C39,'Project Status'!C:U,19,FALSE)</f>
        <v>24000</v>
      </c>
    </row>
    <row r="40" spans="1:8" x14ac:dyDescent="0.4">
      <c r="A40" s="108">
        <f t="shared" si="0"/>
        <v>35</v>
      </c>
      <c r="B40" t="str">
        <f>VLOOKUP(C40,'Project Status'!C:J,8,FALSE)</f>
        <v>Finalized</v>
      </c>
      <c r="C40" s="60">
        <v>20832</v>
      </c>
      <c r="D40" s="26" t="str">
        <f>VLOOKUP(C40,'Project Status'!C:G,5,FALSE)</f>
        <v>Arts &amp; Science</v>
      </c>
      <c r="E40" t="str">
        <f>VLOOKUP(C40,'Project Status'!C:I,7,FALSE)</f>
        <v>Wilson Hall - HVAC Replacement</v>
      </c>
      <c r="F40" s="106">
        <f>VLOOKUP(C40,'Project Status'!C:L,10,FALSE)</f>
        <v>24000</v>
      </c>
      <c r="G40" s="107">
        <f>VLOOKUP(C40,'Project Status'!C:R,16,FALSE)</f>
        <v>0</v>
      </c>
      <c r="H40" s="127">
        <f>VLOOKUP(C40,'Project Status'!C:U,19,FALSE)</f>
        <v>24000</v>
      </c>
    </row>
    <row r="41" spans="1:8" x14ac:dyDescent="0.4">
      <c r="A41" s="108">
        <f t="shared" si="0"/>
        <v>36</v>
      </c>
      <c r="B41" t="str">
        <f>VLOOKUP(C41,'Project Status'!C:J,8,FALSE)</f>
        <v>Warranty or Construction Closeout</v>
      </c>
      <c r="C41" s="60">
        <v>20833</v>
      </c>
      <c r="D41" s="26" t="str">
        <f>VLOOKUP(C41,'Project Status'!C:G,5,FALSE)</f>
        <v>Arts &amp; Science</v>
      </c>
      <c r="E41" t="str">
        <f>VLOOKUP(C41,'Project Status'!C:I,7,FALSE)</f>
        <v>SC5 - HVAC Replacement</v>
      </c>
      <c r="F41" s="106">
        <f>VLOOKUP(C41,'Project Status'!C:L,10,FALSE)</f>
        <v>24000</v>
      </c>
      <c r="G41" s="107">
        <f>VLOOKUP(C41,'Project Status'!C:R,16,FALSE)</f>
        <v>0</v>
      </c>
      <c r="H41" s="127">
        <f>VLOOKUP(C41,'Project Status'!C:U,19,FALSE)</f>
        <v>24000</v>
      </c>
    </row>
    <row r="42" spans="1:8" x14ac:dyDescent="0.4">
      <c r="A42" s="108">
        <f t="shared" si="0"/>
        <v>37</v>
      </c>
      <c r="B42" t="str">
        <f>VLOOKUP(C42,'Project Status'!C:J,8,FALSE)</f>
        <v>Finalized</v>
      </c>
      <c r="C42" s="60">
        <v>20834</v>
      </c>
      <c r="D42" s="26" t="str">
        <f>VLOOKUP(C42,'Project Status'!C:G,5,FALSE)</f>
        <v>Peabody</v>
      </c>
      <c r="E42" t="str">
        <f>VLOOKUP(C42,'Project Status'!C:I,7,FALSE)</f>
        <v>Wyatt Center - HVAC Upgrades - Engineering Study</v>
      </c>
      <c r="F42" s="106">
        <f>VLOOKUP(C42,'Project Status'!C:L,10,FALSE)</f>
        <v>5000</v>
      </c>
      <c r="G42" s="107">
        <f>VLOOKUP(C42,'Project Status'!C:R,16,FALSE)</f>
        <v>0</v>
      </c>
      <c r="H42" s="127">
        <f>VLOOKUP(C42,'Project Status'!C:U,19,FALSE)</f>
        <v>0</v>
      </c>
    </row>
    <row r="43" spans="1:8" x14ac:dyDescent="0.4">
      <c r="A43" s="108">
        <f t="shared" si="0"/>
        <v>38</v>
      </c>
      <c r="B43" t="str">
        <f>VLOOKUP(C43,'Project Status'!C:J,8,FALSE)</f>
        <v>Construction</v>
      </c>
      <c r="C43" s="60">
        <v>20857</v>
      </c>
      <c r="D43" s="26" t="str">
        <f>VLOOKUP(C43,'Project Status'!C:G,5,FALSE)</f>
        <v>Peabody</v>
      </c>
      <c r="E43" t="str">
        <f>VLOOKUP(C43,'Project Status'!C:I,7,FALSE)</f>
        <v>One Magnolia Circle - Elevator Modernization</v>
      </c>
      <c r="F43" s="106">
        <f>VLOOKUP(C43,'Project Status'!C:L,10,FALSE)</f>
        <v>499184</v>
      </c>
      <c r="G43" s="107">
        <f>VLOOKUP(C43,'Project Status'!C:R,16,FALSE)</f>
        <v>0</v>
      </c>
      <c r="H43" s="127">
        <f>VLOOKUP(C43,'Project Status'!C:U,19,FALSE)</f>
        <v>499184</v>
      </c>
    </row>
    <row r="44" spans="1:8" x14ac:dyDescent="0.4">
      <c r="A44" s="108">
        <f t="shared" si="0"/>
        <v>39</v>
      </c>
      <c r="B44" t="str">
        <f>VLOOKUP(C44,'Project Status'!C:J,8,FALSE)</f>
        <v>Award</v>
      </c>
      <c r="C44" s="60">
        <v>20884</v>
      </c>
      <c r="D44" s="26" t="str">
        <f>VLOOKUP(C44,'Project Status'!C:G,5,FALSE)</f>
        <v>Law</v>
      </c>
      <c r="E44" t="str">
        <f>VLOOKUP(C44,'Project Status'!C:I,7,FALSE)</f>
        <v>Law School - Exterior Window Painting</v>
      </c>
      <c r="F44" s="106">
        <f>VLOOKUP(C44,'Project Status'!C:L,10,FALSE)</f>
        <v>0</v>
      </c>
      <c r="G44" s="107">
        <f>VLOOKUP(C44,'Project Status'!C:R,16,FALSE)</f>
        <v>0</v>
      </c>
      <c r="H44" s="127">
        <f>VLOOKUP(C44,'Project Status'!C:U,19,FALSE)</f>
        <v>675650</v>
      </c>
    </row>
    <row r="45" spans="1:8" x14ac:dyDescent="0.4">
      <c r="A45" s="108">
        <f t="shared" si="0"/>
        <v>40</v>
      </c>
      <c r="B45" t="str">
        <f>VLOOKUP(C45,'Project Status'!C:J,8,FALSE)</f>
        <v>Award</v>
      </c>
      <c r="C45" s="60">
        <v>20885</v>
      </c>
      <c r="D45" s="26" t="str">
        <f>VLOOKUP(C45,'Project Status'!C:G,5,FALSE)</f>
        <v>Arts &amp; Science</v>
      </c>
      <c r="E45" t="str">
        <f>VLOOKUP(C45,'Project Status'!C:I,7,FALSE)</f>
        <v>NMR - Replace Air Compressors</v>
      </c>
      <c r="F45" s="106">
        <f>VLOOKUP(C45,'Project Status'!C:L,10,FALSE)</f>
        <v>99000</v>
      </c>
      <c r="G45" s="107">
        <f>VLOOKUP(C45,'Project Status'!C:R,16,FALSE)</f>
        <v>0</v>
      </c>
      <c r="H45" s="127">
        <f>VLOOKUP(C45,'Project Status'!C:U,19,FALSE)</f>
        <v>123341</v>
      </c>
    </row>
    <row r="46" spans="1:8" x14ac:dyDescent="0.4">
      <c r="A46" s="108">
        <f t="shared" si="0"/>
        <v>41</v>
      </c>
      <c r="B46" t="str">
        <f>VLOOKUP(C46,'Project Status'!C:J,8,FALSE)</f>
        <v>Construction</v>
      </c>
      <c r="C46" s="60">
        <v>20911</v>
      </c>
      <c r="D46" s="26" t="str">
        <f>VLOOKUP(C46,'Project Status'!C:G,5,FALSE)</f>
        <v>Arts &amp; Science</v>
      </c>
      <c r="E46" t="str">
        <f>VLOOKUP(C46,'Project Status'!C:I,7,FALSE)</f>
        <v>Buttrick Hall - Elevator Upgrades</v>
      </c>
      <c r="F46" s="106">
        <f>VLOOKUP(C46,'Project Status'!C:L,10,FALSE)</f>
        <v>75000</v>
      </c>
      <c r="G46" s="107">
        <f>VLOOKUP(C46,'Project Status'!C:R,16,FALSE)</f>
        <v>0</v>
      </c>
      <c r="H46" s="127">
        <f>VLOOKUP(C46,'Project Status'!C:U,19,FALSE)</f>
        <v>61045</v>
      </c>
    </row>
    <row r="47" spans="1:8" x14ac:dyDescent="0.4">
      <c r="A47" s="108">
        <f t="shared" si="0"/>
        <v>42</v>
      </c>
      <c r="B47" t="str">
        <f>VLOOKUP(C47,'Project Status'!C:J,8,FALSE)</f>
        <v>Construction</v>
      </c>
      <c r="C47" s="60">
        <v>20912</v>
      </c>
      <c r="D47" s="26" t="str">
        <f>VLOOKUP(C47,'Project Status'!C:G,5,FALSE)</f>
        <v>Arts &amp; Science</v>
      </c>
      <c r="E47" t="str">
        <f>VLOOKUP(C47,'Project Status'!C:I,7,FALSE)</f>
        <v>Benson Hall - Elevator Upgrades</v>
      </c>
      <c r="F47" s="106">
        <f>VLOOKUP(C47,'Project Status'!C:L,10,FALSE)</f>
        <v>75000</v>
      </c>
      <c r="G47" s="107">
        <f>VLOOKUP(C47,'Project Status'!C:R,16,FALSE)</f>
        <v>0</v>
      </c>
      <c r="H47" s="127">
        <f>VLOOKUP(C47,'Project Status'!C:U,19,FALSE)</f>
        <v>59798</v>
      </c>
    </row>
    <row r="48" spans="1:8" x14ac:dyDescent="0.4">
      <c r="A48" s="108">
        <f t="shared" si="0"/>
        <v>43</v>
      </c>
      <c r="B48" t="str">
        <f>VLOOKUP(C48,'Project Status'!C:J,8,FALSE)</f>
        <v>Construction</v>
      </c>
      <c r="C48" s="60">
        <v>20913</v>
      </c>
      <c r="D48" s="26" t="str">
        <f>VLOOKUP(C48,'Project Status'!C:G,5,FALSE)</f>
        <v>Arts &amp; Science</v>
      </c>
      <c r="E48" t="str">
        <f>VLOOKUP(C48,'Project Status'!C:I,7,FALSE)</f>
        <v>Wilson Hall - Elevator Upgrades</v>
      </c>
      <c r="F48" s="106">
        <f>VLOOKUP(C48,'Project Status'!C:L,10,FALSE)</f>
        <v>75000</v>
      </c>
      <c r="G48" s="107">
        <f>VLOOKUP(C48,'Project Status'!C:R,16,FALSE)</f>
        <v>0</v>
      </c>
      <c r="H48" s="127">
        <f>VLOOKUP(C48,'Project Status'!C:U,19,FALSE)</f>
        <v>96612</v>
      </c>
    </row>
    <row r="49" spans="1:8" x14ac:dyDescent="0.4">
      <c r="A49" s="108">
        <f t="shared" si="0"/>
        <v>44</v>
      </c>
      <c r="B49" t="str">
        <f>VLOOKUP(C49,'Project Status'!C:J,8,FALSE)</f>
        <v>Award</v>
      </c>
      <c r="C49" s="60">
        <v>20924</v>
      </c>
      <c r="D49" s="26" t="str">
        <f>VLOOKUP(C49,'Project Status'!C:G,5,FALSE)</f>
        <v>Nursing</v>
      </c>
      <c r="E49" t="str">
        <f>VLOOKUP(C49,'Project Status'!C:I,7,FALSE)</f>
        <v>Frist Hall - Stairwell Roof Replacement</v>
      </c>
      <c r="F49" s="106">
        <f>VLOOKUP(C49,'Project Status'!C:L,10,FALSE)</f>
        <v>0</v>
      </c>
      <c r="G49" s="107">
        <f>VLOOKUP(C49,'Project Status'!C:R,16,FALSE)</f>
        <v>0</v>
      </c>
      <c r="H49" s="127">
        <f>VLOOKUP(C49,'Project Status'!C:U,19,FALSE)</f>
        <v>30570</v>
      </c>
    </row>
    <row r="50" spans="1:8" x14ac:dyDescent="0.4">
      <c r="A50" s="108">
        <f t="shared" si="0"/>
        <v>45</v>
      </c>
      <c r="B50" t="str">
        <f>VLOOKUP(C50,'Project Status'!C:J,8,FALSE)</f>
        <v>Design</v>
      </c>
      <c r="C50" s="60">
        <v>20925</v>
      </c>
      <c r="D50" s="26" t="str">
        <f>VLOOKUP(C50,'Project Status'!C:G,5,FALSE)</f>
        <v>Blair</v>
      </c>
      <c r="E50" t="str">
        <f>VLOOKUP(C50,'Project Status'!C:I,7,FALSE)</f>
        <v>Blair School of Music - AHU 2/3 Replacement  - Phase 2 - FY26</v>
      </c>
      <c r="F50" s="106">
        <f>VLOOKUP(C50,'Project Status'!C:L,10,FALSE)</f>
        <v>2750000</v>
      </c>
      <c r="G50" s="107">
        <f>VLOOKUP(C50,'Project Status'!C:R,16,FALSE)</f>
        <v>0</v>
      </c>
      <c r="H50" s="127">
        <f>VLOOKUP(C50,'Project Status'!C:U,19,FALSE)</f>
        <v>0</v>
      </c>
    </row>
    <row r="51" spans="1:8" x14ac:dyDescent="0.4">
      <c r="A51" s="108">
        <f t="shared" si="0"/>
        <v>46</v>
      </c>
      <c r="B51" t="str">
        <f>VLOOKUP(C51,'Project Status'!C:J,8,FALSE)</f>
        <v>Not Started</v>
      </c>
      <c r="C51" s="60">
        <v>20934</v>
      </c>
      <c r="D51" s="26" t="str">
        <f>VLOOKUP(C51,'Project Status'!C:G,5,FALSE)</f>
        <v>Arts &amp; Science</v>
      </c>
      <c r="E51" t="str">
        <f>VLOOKUP(C51,'Project Status'!C:I,7,FALSE)</f>
        <v>Neely Auditorium - MEP Feasibility Study</v>
      </c>
      <c r="F51" s="106">
        <f>VLOOKUP(C51,'Project Status'!C:L,10,FALSE)</f>
        <v>0</v>
      </c>
      <c r="G51" s="107">
        <f>VLOOKUP(C51,'Project Status'!C:R,16,FALSE)</f>
        <v>0</v>
      </c>
      <c r="H51" s="127">
        <f>VLOOKUP(C51,'Project Status'!C:U,19,FALSE)</f>
        <v>0</v>
      </c>
    </row>
    <row r="52" spans="1:8" x14ac:dyDescent="0.4">
      <c r="A52" s="108">
        <f t="shared" si="0"/>
        <v>47</v>
      </c>
      <c r="B52" t="str">
        <f>VLOOKUP(C52,'Project Status'!C:J,8,FALSE)</f>
        <v>Award</v>
      </c>
      <c r="C52" s="60">
        <v>20936</v>
      </c>
      <c r="D52" s="26" t="str">
        <f>VLOOKUP(C52,'Project Status'!C:G,5,FALSE)</f>
        <v>Arts &amp; Science</v>
      </c>
      <c r="E52" t="str">
        <f>VLOOKUP(C52,'Project Status'!C:I,7,FALSE)</f>
        <v>Wilson Hall - Lighting Retrofit for 103 and 126</v>
      </c>
      <c r="F52" s="106">
        <f>VLOOKUP(C52,'Project Status'!C:L,10,FALSE)</f>
        <v>0</v>
      </c>
      <c r="G52" s="107">
        <f>VLOOKUP(C52,'Project Status'!C:R,16,FALSE)</f>
        <v>0</v>
      </c>
      <c r="H52" s="127">
        <f>VLOOKUP(C52,'Project Status'!C:U,19,FALSE)</f>
        <v>0</v>
      </c>
    </row>
    <row r="53" spans="1:8" x14ac:dyDescent="0.4">
      <c r="A53" s="108">
        <f t="shared" si="0"/>
        <v>48</v>
      </c>
      <c r="B53" t="str">
        <f>VLOOKUP(C53,'Project Status'!C:J,8,FALSE)</f>
        <v>Programming or Planning</v>
      </c>
      <c r="C53" s="60">
        <v>20940</v>
      </c>
      <c r="D53" s="26" t="str">
        <f>VLOOKUP(C53,'Project Status'!C:G,5,FALSE)</f>
        <v>Engineering</v>
      </c>
      <c r="E53" t="str">
        <f>VLOOKUP(C53,'Project Status'!C:I,7,FALSE)</f>
        <v>1025 16th Avenue - Security System Replacement</v>
      </c>
      <c r="F53" s="106">
        <f>VLOOKUP(C53,'Project Status'!C:L,10,FALSE)</f>
        <v>0</v>
      </c>
      <c r="G53" s="107">
        <f>VLOOKUP(C53,'Project Status'!C:R,16,FALSE)</f>
        <v>0</v>
      </c>
      <c r="H53" s="127">
        <f>VLOOKUP(C53,'Project Status'!C:U,19,FALSE)</f>
        <v>0</v>
      </c>
    </row>
    <row r="54" spans="1:8" x14ac:dyDescent="0.4">
      <c r="A54" s="108">
        <f t="shared" si="0"/>
        <v>49</v>
      </c>
      <c r="B54" t="str">
        <f>VLOOKUP(C54,'Project Status'!C:J,8,FALSE)</f>
        <v>Award</v>
      </c>
      <c r="C54" s="60">
        <v>20945</v>
      </c>
      <c r="D54" s="26" t="str">
        <f>VLOOKUP(C54,'Project Status'!C:G,5,FALSE)</f>
        <v>Other</v>
      </c>
      <c r="E54" t="str">
        <f>VLOOKUP(C54,'Project Status'!C:I,7,FALSE)</f>
        <v>Seigenthaler Building - HVAC Improvements</v>
      </c>
      <c r="F54" s="106">
        <f>VLOOKUP(C54,'Project Status'!C:L,10,FALSE)</f>
        <v>99000</v>
      </c>
      <c r="G54" s="107">
        <f>VLOOKUP(C54,'Project Status'!C:R,16,FALSE)</f>
        <v>0</v>
      </c>
      <c r="H54" s="127">
        <f>VLOOKUP(C54,'Project Status'!C:U,19,FALSE)</f>
        <v>99000</v>
      </c>
    </row>
    <row r="55" spans="1:8" x14ac:dyDescent="0.4">
      <c r="A55" s="108">
        <f t="shared" si="0"/>
        <v>50</v>
      </c>
      <c r="B55" t="str">
        <f>VLOOKUP(C55,'Project Status'!C:J,8,FALSE)</f>
        <v>Programming or Planning</v>
      </c>
      <c r="C55" s="60">
        <v>20957</v>
      </c>
      <c r="D55" s="26" t="str">
        <f>VLOOKUP(C55,'Project Status'!C:G,5,FALSE)</f>
        <v>Arts &amp; Science</v>
      </c>
      <c r="E55" t="str">
        <f>VLOOKUP(C55,'Project Status'!C:I,7,FALSE)</f>
        <v>SC6 - Roof Replacement</v>
      </c>
      <c r="F55" s="106">
        <f>VLOOKUP(C55,'Project Status'!C:L,10,FALSE)</f>
        <v>500000</v>
      </c>
      <c r="G55" s="107">
        <f>VLOOKUP(C55,'Project Status'!C:R,16,FALSE)</f>
        <v>0</v>
      </c>
      <c r="H55" s="127">
        <f>VLOOKUP(C55,'Project Status'!C:U,19,FALSE)</f>
        <v>350000</v>
      </c>
    </row>
    <row r="56" spans="1:8" x14ac:dyDescent="0.4">
      <c r="A56" s="108">
        <f t="shared" si="0"/>
        <v>51</v>
      </c>
      <c r="B56" t="str">
        <f>VLOOKUP(C56,'Project Status'!C:J,8,FALSE)</f>
        <v>Programming or Planning</v>
      </c>
      <c r="C56" s="60">
        <v>20958</v>
      </c>
      <c r="D56" s="26" t="str">
        <f>VLOOKUP(C56,'Project Status'!C:G,5,FALSE)</f>
        <v>Arts &amp; Science</v>
      </c>
      <c r="E56" t="str">
        <f>VLOOKUP(C56,'Project Status'!C:I,7,FALSE)</f>
        <v>Furman Hall - Elevator Modernization</v>
      </c>
      <c r="F56" s="106">
        <f>VLOOKUP(C56,'Project Status'!C:L,10,FALSE)</f>
        <v>290000</v>
      </c>
      <c r="G56" s="107">
        <f>VLOOKUP(C56,'Project Status'!C:R,16,FALSE)</f>
        <v>0</v>
      </c>
      <c r="H56" s="127">
        <f>VLOOKUP(C56,'Project Status'!C:U,19,FALSE)</f>
        <v>18175</v>
      </c>
    </row>
    <row r="57" spans="1:8" s="20" customFormat="1" x14ac:dyDescent="0.4">
      <c r="F57" s="81">
        <f>SUM(F6:F56)</f>
        <v>37127926.759999998</v>
      </c>
      <c r="G57" s="82">
        <f t="shared" ref="G57:H57" si="1">SUM(G6:G56)</f>
        <v>8797286.2599999998</v>
      </c>
      <c r="H57" s="128">
        <f t="shared" si="1"/>
        <v>11602806.359999999</v>
      </c>
    </row>
    <row r="58" spans="1:8" s="20" customFormat="1" x14ac:dyDescent="0.4">
      <c r="F58" s="75"/>
      <c r="G58" s="75"/>
      <c r="H58" s="75"/>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7.53515625" bestFit="1" customWidth="1"/>
    <col min="7" max="7" width="12.3046875" bestFit="1" customWidth="1"/>
    <col min="8" max="8" width="16.53515625" bestFit="1" customWidth="1"/>
    <col min="9" max="9" width="12.152343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Finalized</v>
      </c>
      <c r="G4" s="11" t="str">
        <f>VLOOKUP(A4,'Project Status'!C:K,9,FALSE)</f>
        <v>Sean Rewers</v>
      </c>
      <c r="H4" s="99">
        <f>VLOOKUP(A4,'Project Status'!C:M,11,FALSE)</f>
        <v>85577</v>
      </c>
      <c r="I4" s="202">
        <f>VLOOKUP(B4,'Project Status'!D:N,11,FALSE)</f>
        <v>85576.77</v>
      </c>
    </row>
    <row r="8" spans="1:11" x14ac:dyDescent="0.4">
      <c r="E8" s="42" t="s">
        <v>124</v>
      </c>
    </row>
    <row r="9" spans="1:11" x14ac:dyDescent="0.4">
      <c r="E9" s="22" t="s">
        <v>226</v>
      </c>
      <c r="F9" s="34" t="s">
        <v>139</v>
      </c>
      <c r="H9" s="110">
        <v>2500</v>
      </c>
    </row>
    <row r="10" spans="1:11" x14ac:dyDescent="0.4">
      <c r="E10" s="22" t="s">
        <v>253</v>
      </c>
      <c r="F10" t="s">
        <v>139</v>
      </c>
      <c r="H10" s="43">
        <v>77123</v>
      </c>
    </row>
    <row r="11" spans="1:11" x14ac:dyDescent="0.4">
      <c r="E11" s="22" t="s">
        <v>339</v>
      </c>
      <c r="F11" t="s">
        <v>174</v>
      </c>
      <c r="H11" s="43">
        <v>5954</v>
      </c>
    </row>
    <row r="18" spans="5:8" x14ac:dyDescent="0.4">
      <c r="E18" s="161" t="s">
        <v>270</v>
      </c>
      <c r="F18" s="162"/>
      <c r="G18" s="161"/>
      <c r="H18" s="163">
        <f>SUM(H9:H17)</f>
        <v>85577</v>
      </c>
    </row>
    <row r="20" spans="5:8" x14ac:dyDescent="0.4">
      <c r="E20" s="164" t="s">
        <v>136</v>
      </c>
      <c r="F20" s="164"/>
      <c r="G20" s="164"/>
      <c r="H20" s="165">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U5" sqref="U5"/>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Bidding</v>
      </c>
      <c r="G4" s="11" t="str">
        <f>VLOOKUP(A4,'Project Status'!C:K,9,FALSE)</f>
        <v>Sean Rewers</v>
      </c>
      <c r="H4" s="99">
        <f>VLOOKUP(A4,'Project Status'!C:M,11,FALSE)</f>
        <v>499093</v>
      </c>
    </row>
    <row r="8" spans="1:11" x14ac:dyDescent="0.4">
      <c r="E8" s="42" t="s">
        <v>124</v>
      </c>
    </row>
    <row r="9" spans="1:11" x14ac:dyDescent="0.4">
      <c r="E9" s="22" t="s">
        <v>271</v>
      </c>
      <c r="F9" s="34" t="s">
        <v>139</v>
      </c>
      <c r="H9" s="110">
        <v>499093</v>
      </c>
    </row>
    <row r="10" spans="1:11" x14ac:dyDescent="0.4">
      <c r="E10" s="22"/>
      <c r="H10" s="43"/>
    </row>
    <row r="18" spans="5:8" x14ac:dyDescent="0.4">
      <c r="E18" s="161" t="s">
        <v>270</v>
      </c>
      <c r="F18" s="162"/>
      <c r="G18" s="161"/>
      <c r="H18" s="163">
        <f>SUM(H9:H17)</f>
        <v>499093</v>
      </c>
    </row>
    <row r="20" spans="5:8" x14ac:dyDescent="0.4">
      <c r="E20" s="164" t="s">
        <v>136</v>
      </c>
      <c r="F20" s="164"/>
      <c r="G20" s="164"/>
      <c r="H20" s="165">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Finalized</v>
      </c>
      <c r="G4" s="11" t="str">
        <f>VLOOKUP(A4,'Project Status'!C:K,9,FALSE)</f>
        <v>Ben Bedock</v>
      </c>
      <c r="H4" s="99">
        <f>VLOOKUP(A4,'Project Status'!C:M,11,FALSE)</f>
        <v>239341</v>
      </c>
      <c r="I4" s="202">
        <f>VLOOKUP(B4,'Project Status'!D:N,11,FALSE)</f>
        <v>209419</v>
      </c>
    </row>
    <row r="8" spans="1:11" x14ac:dyDescent="0.4">
      <c r="E8" s="42" t="s">
        <v>124</v>
      </c>
    </row>
    <row r="9" spans="1:11" x14ac:dyDescent="0.4">
      <c r="E9" s="22" t="s">
        <v>215</v>
      </c>
      <c r="F9" s="34" t="s">
        <v>139</v>
      </c>
      <c r="H9" s="43">
        <v>13550</v>
      </c>
    </row>
    <row r="10" spans="1:11" x14ac:dyDescent="0.4">
      <c r="E10" s="22" t="s">
        <v>232</v>
      </c>
      <c r="F10" t="s">
        <v>214</v>
      </c>
      <c r="H10" s="43">
        <v>225791</v>
      </c>
    </row>
    <row r="11" spans="1:11" x14ac:dyDescent="0.4">
      <c r="E11" s="22" t="s">
        <v>395</v>
      </c>
      <c r="F11" t="s">
        <v>408</v>
      </c>
      <c r="H11" s="43">
        <v>-29922</v>
      </c>
    </row>
    <row r="18" spans="5:8" x14ac:dyDescent="0.4">
      <c r="E18" s="161" t="s">
        <v>270</v>
      </c>
      <c r="F18" s="162"/>
      <c r="G18" s="161"/>
      <c r="H18" s="163">
        <f>SUM(H9:H17)</f>
        <v>209419</v>
      </c>
    </row>
    <row r="20" spans="5:8" x14ac:dyDescent="0.4">
      <c r="E20" s="164" t="s">
        <v>136</v>
      </c>
      <c r="F20" s="164"/>
      <c r="G20" s="164"/>
      <c r="H20" s="165">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Financial Closeout</v>
      </c>
      <c r="G4" s="11" t="str">
        <f>VLOOKUP(A4,'Project Status'!C:K,9,FALSE)</f>
        <v>Erin Fry</v>
      </c>
      <c r="H4" s="99">
        <f>VLOOKUP(A4,'Project Status'!C:M,11,FALSE)</f>
        <v>715000</v>
      </c>
      <c r="I4" s="202">
        <f>VLOOKUP(B4,'Project Status'!D:N,11,FALSE)</f>
        <v>656784.6</v>
      </c>
    </row>
    <row r="8" spans="1:11" x14ac:dyDescent="0.4">
      <c r="E8" s="42" t="s">
        <v>124</v>
      </c>
    </row>
    <row r="9" spans="1:11" x14ac:dyDescent="0.4">
      <c r="E9" s="22" t="s">
        <v>284</v>
      </c>
      <c r="F9" s="34" t="s">
        <v>283</v>
      </c>
      <c r="H9" s="43">
        <v>96166</v>
      </c>
    </row>
    <row r="10" spans="1:11" x14ac:dyDescent="0.4">
      <c r="E10" s="22"/>
      <c r="F10" s="20" t="s">
        <v>286</v>
      </c>
      <c r="H10" s="43"/>
    </row>
    <row r="11" spans="1:11" x14ac:dyDescent="0.4">
      <c r="E11" s="33" t="s">
        <v>288</v>
      </c>
      <c r="H11" s="109">
        <f>715000-96166</f>
        <v>618834</v>
      </c>
    </row>
    <row r="13" spans="1:11" x14ac:dyDescent="0.4">
      <c r="H13" s="45">
        <f>SUM(H9:H11)</f>
        <v>715000</v>
      </c>
    </row>
    <row r="18" spans="5:8" x14ac:dyDescent="0.4">
      <c r="E18" s="161" t="s">
        <v>270</v>
      </c>
      <c r="F18" s="162"/>
      <c r="G18" s="161"/>
      <c r="H18" s="163">
        <f>H9</f>
        <v>96166</v>
      </c>
    </row>
    <row r="20" spans="5:8" x14ac:dyDescent="0.4">
      <c r="E20" s="164" t="s">
        <v>136</v>
      </c>
      <c r="F20" s="164"/>
      <c r="G20" s="164"/>
      <c r="H20" s="165">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56.152343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Andy Maddox</v>
      </c>
      <c r="H4" s="99">
        <f>VLOOKUP(A4,'Project Status'!C:M,11,FALSE)</f>
        <v>160500</v>
      </c>
    </row>
    <row r="8" spans="1:11" x14ac:dyDescent="0.4">
      <c r="E8" s="42" t="s">
        <v>124</v>
      </c>
    </row>
    <row r="9" spans="1:11" x14ac:dyDescent="0.4">
      <c r="E9" s="22" t="s">
        <v>253</v>
      </c>
      <c r="F9" s="34"/>
      <c r="H9" s="43">
        <v>24500</v>
      </c>
    </row>
    <row r="10" spans="1:11" x14ac:dyDescent="0.4">
      <c r="E10" s="22" t="s">
        <v>271</v>
      </c>
      <c r="H10" s="43">
        <v>136000</v>
      </c>
    </row>
    <row r="18" spans="5:8" x14ac:dyDescent="0.4">
      <c r="E18" s="161" t="s">
        <v>270</v>
      </c>
      <c r="F18" s="162"/>
      <c r="G18" s="161"/>
      <c r="H18" s="163">
        <f>SUM(H9:H17)</f>
        <v>160500</v>
      </c>
    </row>
    <row r="20" spans="5:8" x14ac:dyDescent="0.4">
      <c r="E20" s="164" t="s">
        <v>136</v>
      </c>
      <c r="F20" s="164"/>
      <c r="G20" s="164"/>
      <c r="H20" s="165">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828125" bestFit="1" customWidth="1"/>
    <col min="7" max="7" width="11"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Status'!C:J,8,FALSE)</f>
        <v>Construction</v>
      </c>
      <c r="G4" s="11" t="str">
        <f>VLOOKUP(A4,'Project Status'!C:K,9,FALSE)</f>
        <v>Hans Mooy</v>
      </c>
      <c r="H4" s="99">
        <f>VLOOKUP(A4,'Project Status'!C:M,11,FALSE)</f>
        <v>1987500</v>
      </c>
    </row>
    <row r="8" spans="1:11" x14ac:dyDescent="0.4">
      <c r="E8" s="42" t="s">
        <v>124</v>
      </c>
    </row>
    <row r="9" spans="1:11" x14ac:dyDescent="0.4">
      <c r="E9" t="s">
        <v>239</v>
      </c>
      <c r="F9" t="s">
        <v>139</v>
      </c>
      <c r="H9" s="43">
        <v>23400</v>
      </c>
    </row>
    <row r="10" spans="1:11" x14ac:dyDescent="0.4">
      <c r="E10" t="s">
        <v>375</v>
      </c>
      <c r="F10" t="s">
        <v>214</v>
      </c>
      <c r="H10" s="43">
        <v>1964100</v>
      </c>
    </row>
    <row r="12" spans="1:11" x14ac:dyDescent="0.4">
      <c r="F12" s="10"/>
      <c r="G12" s="10"/>
      <c r="H12" s="46"/>
    </row>
    <row r="18" spans="5:8" x14ac:dyDescent="0.4">
      <c r="E18" s="161" t="s">
        <v>270</v>
      </c>
      <c r="F18" s="162"/>
      <c r="G18" s="161"/>
      <c r="H18" s="163">
        <f>SUM(H9:H17)</f>
        <v>1987500</v>
      </c>
    </row>
    <row r="20" spans="5:8" x14ac:dyDescent="0.4">
      <c r="E20" s="164" t="s">
        <v>136</v>
      </c>
      <c r="F20" s="164"/>
      <c r="G20" s="164"/>
      <c r="H20" s="165">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Warranty or Construction Closeout</v>
      </c>
      <c r="G4" s="11" t="str">
        <f>VLOOKUP(A4,'Project Status'!C:K,9,FALSE)</f>
        <v>Ben Bedock</v>
      </c>
      <c r="H4" s="99">
        <f>VLOOKUP(A4,'Project Status'!C:M,11,FALSE)</f>
        <v>300000</v>
      </c>
      <c r="I4" s="202">
        <f>VLOOKUP(B4,'Project Status'!D:N,11,FALSE)</f>
        <v>276500</v>
      </c>
    </row>
    <row r="8" spans="1:11" x14ac:dyDescent="0.4">
      <c r="E8" s="42" t="s">
        <v>124</v>
      </c>
    </row>
    <row r="9" spans="1:11" x14ac:dyDescent="0.4">
      <c r="E9" s="22" t="s">
        <v>278</v>
      </c>
      <c r="F9" t="s">
        <v>139</v>
      </c>
      <c r="H9" s="43">
        <v>300000</v>
      </c>
    </row>
    <row r="10" spans="1:11" x14ac:dyDescent="0.4">
      <c r="E10" s="22"/>
    </row>
    <row r="12" spans="1:11" x14ac:dyDescent="0.4">
      <c r="F12" s="10"/>
      <c r="G12" s="10"/>
      <c r="H12" s="46"/>
    </row>
    <row r="18" spans="5:8" x14ac:dyDescent="0.4">
      <c r="E18" s="161" t="s">
        <v>270</v>
      </c>
      <c r="F18" s="162"/>
      <c r="G18" s="161"/>
      <c r="H18" s="163">
        <f>SUM(H9:H17)</f>
        <v>300000</v>
      </c>
    </row>
    <row r="20" spans="5:8" x14ac:dyDescent="0.4">
      <c r="E20" s="164" t="s">
        <v>136</v>
      </c>
      <c r="F20" s="164"/>
      <c r="G20" s="164"/>
      <c r="H20" s="165">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theme="4"/>
  </sheetPr>
  <dimension ref="A1:K20"/>
  <sheetViews>
    <sheetView workbookViewId="0">
      <selection activeCell="E9" sqref="E9"/>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Status'!C:J,8,FALSE)</f>
        <v>Award</v>
      </c>
      <c r="G4" s="11" t="str">
        <f>VLOOKUP(A4,'Project Status'!C:K,9,FALSE)</f>
        <v>Jay Surprenant</v>
      </c>
      <c r="H4" s="99">
        <f>VLOOKUP(A4,'Project Status'!C:M,11,FALSE)</f>
        <v>148299</v>
      </c>
      <c r="I4" s="202">
        <f>VLOOKUP(B4,'Project Status'!D:N,11,FALSE)</f>
        <v>0</v>
      </c>
    </row>
    <row r="8" spans="1:11" x14ac:dyDescent="0.4">
      <c r="E8" s="42" t="s">
        <v>124</v>
      </c>
    </row>
    <row r="9" spans="1:11" x14ac:dyDescent="0.4">
      <c r="E9" s="22" t="s">
        <v>413</v>
      </c>
      <c r="F9" t="s">
        <v>139</v>
      </c>
      <c r="H9" s="43">
        <v>148299</v>
      </c>
    </row>
    <row r="10" spans="1:11" x14ac:dyDescent="0.4">
      <c r="E10" s="22"/>
    </row>
    <row r="12" spans="1:11" x14ac:dyDescent="0.4">
      <c r="F12" s="10"/>
      <c r="G12" s="10"/>
      <c r="H12" s="46"/>
    </row>
    <row r="18" spans="5:8" x14ac:dyDescent="0.4">
      <c r="E18" s="161" t="s">
        <v>270</v>
      </c>
      <c r="F18" s="162"/>
      <c r="G18" s="161"/>
      <c r="H18" s="163">
        <f>SUM(H9:H17)</f>
        <v>148299</v>
      </c>
    </row>
    <row r="20" spans="5:8" x14ac:dyDescent="0.4">
      <c r="E20" s="164" t="s">
        <v>136</v>
      </c>
      <c r="F20" s="164"/>
      <c r="G20" s="164"/>
      <c r="H20" s="165">
        <f>H4-H18</f>
        <v>0</v>
      </c>
    </row>
  </sheetData>
  <hyperlinks>
    <hyperlink ref="K1" location="'Project Status'!A1" display="'Project Status'!A1" xr:uid="{61EF1237-7E63-4593-B10E-BA676987A306}"/>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9"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99">
        <f>VLOOKUP(A4,'Project Status'!C:M,11,FALSE)</f>
        <v>24997</v>
      </c>
      <c r="I4" s="202">
        <f>VLOOKUP(B4,'Project Status'!D:N,11,FALSE)</f>
        <v>17972</v>
      </c>
    </row>
    <row r="8" spans="1:11" x14ac:dyDescent="0.4">
      <c r="E8" s="42" t="s">
        <v>124</v>
      </c>
    </row>
    <row r="9" spans="1:11" x14ac:dyDescent="0.4">
      <c r="E9" s="22" t="s">
        <v>271</v>
      </c>
      <c r="F9" t="s">
        <v>139</v>
      </c>
      <c r="H9" s="43">
        <v>19297</v>
      </c>
    </row>
    <row r="10" spans="1:11" x14ac:dyDescent="0.4">
      <c r="E10" s="22" t="s">
        <v>278</v>
      </c>
      <c r="F10" t="s">
        <v>214</v>
      </c>
      <c r="H10" s="43">
        <v>5700</v>
      </c>
    </row>
    <row r="11" spans="1:11" x14ac:dyDescent="0.4">
      <c r="E11" s="22" t="s">
        <v>355</v>
      </c>
      <c r="F11" t="s">
        <v>309</v>
      </c>
      <c r="H11" s="43">
        <v>-7025</v>
      </c>
    </row>
    <row r="12" spans="1:11" x14ac:dyDescent="0.4">
      <c r="F12" s="10"/>
      <c r="G12" s="10"/>
      <c r="H12" s="46"/>
    </row>
    <row r="18" spans="5:8" x14ac:dyDescent="0.4">
      <c r="E18" s="161" t="s">
        <v>270</v>
      </c>
      <c r="F18" s="162"/>
      <c r="G18" s="161"/>
      <c r="H18" s="163">
        <f>SUM(H9:H17)</f>
        <v>17972</v>
      </c>
    </row>
    <row r="20" spans="5:8" x14ac:dyDescent="0.4">
      <c r="E20" s="164" t="s">
        <v>136</v>
      </c>
      <c r="F20" s="164"/>
      <c r="G20" s="164"/>
      <c r="H20" s="165">
        <f>I4-H18</f>
        <v>0</v>
      </c>
    </row>
  </sheetData>
  <hyperlinks>
    <hyperlink ref="K1" location="'Project Status'!A1" display="'Project Status'!A1" xr:uid="{FE9FE35D-5ADF-428F-9C73-430E553BB9E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Finalized</v>
      </c>
      <c r="G4" s="11" t="str">
        <f>VLOOKUP(A4,'Project Status'!C:K,9,FALSE)</f>
        <v>Ben Bedock</v>
      </c>
      <c r="H4" s="99">
        <f>VLOOKUP(A4,'Project Status'!C:M,11,FALSE)</f>
        <v>483440</v>
      </c>
      <c r="I4" s="202">
        <f>VLOOKUP(B4,'Project Status'!D:N,11,FALSE)</f>
        <v>450775</v>
      </c>
    </row>
    <row r="8" spans="1:11" x14ac:dyDescent="0.4">
      <c r="E8" s="42" t="s">
        <v>124</v>
      </c>
    </row>
    <row r="9" spans="1:11" x14ac:dyDescent="0.4">
      <c r="E9" s="22" t="s">
        <v>308</v>
      </c>
      <c r="F9" t="s">
        <v>139</v>
      </c>
      <c r="H9" s="43">
        <v>483440</v>
      </c>
    </row>
    <row r="10" spans="1:11" x14ac:dyDescent="0.4">
      <c r="E10" s="22" t="s">
        <v>395</v>
      </c>
      <c r="F10" t="s">
        <v>408</v>
      </c>
      <c r="H10" s="43">
        <v>-32665</v>
      </c>
    </row>
    <row r="12" spans="1:11" x14ac:dyDescent="0.4">
      <c r="F12" s="10"/>
      <c r="G12" s="10"/>
      <c r="H12" s="46"/>
    </row>
    <row r="18" spans="5:8" x14ac:dyDescent="0.4">
      <c r="E18" s="161" t="s">
        <v>270</v>
      </c>
      <c r="F18" s="162"/>
      <c r="G18" s="161"/>
      <c r="H18" s="163">
        <f>SUM(H9:H17)</f>
        <v>450775</v>
      </c>
    </row>
    <row r="20" spans="5:8" x14ac:dyDescent="0.4">
      <c r="E20" s="164" t="s">
        <v>136</v>
      </c>
      <c r="F20" s="164"/>
      <c r="G20" s="164"/>
      <c r="H20" s="165">
        <f>I4-H18</f>
        <v>0</v>
      </c>
    </row>
  </sheetData>
  <hyperlinks>
    <hyperlink ref="K1" location="'Project Status'!A1" display="'Project Status'!A1" xr:uid="{8D4B950B-46B9-453E-93D9-3BBF9A5CCE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19" sqref="K1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208</v>
      </c>
      <c r="E1" s="10" t="s">
        <v>207</v>
      </c>
      <c r="I1" s="10" t="s">
        <v>337</v>
      </c>
    </row>
    <row r="2" spans="1:13" s="8" customFormat="1" x14ac:dyDescent="0.4">
      <c r="A2" s="20"/>
      <c r="B2" s="35"/>
      <c r="E2" s="20"/>
      <c r="F2" s="35"/>
      <c r="I2" s="20"/>
      <c r="J2" s="35"/>
    </row>
    <row r="3" spans="1:13" ht="14.7" customHeight="1" x14ac:dyDescent="0.4">
      <c r="A3" s="8"/>
      <c r="C3" s="12">
        <v>3.41</v>
      </c>
      <c r="E3" s="8"/>
      <c r="G3" s="12">
        <v>3.97</v>
      </c>
      <c r="I3" s="8"/>
      <c r="K3" s="12">
        <v>4.54</v>
      </c>
      <c r="L3" s="96"/>
    </row>
    <row r="4" spans="1:13" x14ac:dyDescent="0.4">
      <c r="A4" s="13" t="s">
        <v>86</v>
      </c>
      <c r="B4" s="14" t="s">
        <v>99</v>
      </c>
      <c r="C4" s="14" t="s">
        <v>88</v>
      </c>
      <c r="E4" s="13" t="s">
        <v>86</v>
      </c>
      <c r="F4" s="14" t="s">
        <v>99</v>
      </c>
      <c r="G4" s="14" t="s">
        <v>88</v>
      </c>
      <c r="I4" s="13" t="s">
        <v>86</v>
      </c>
      <c r="J4" s="14" t="s">
        <v>99</v>
      </c>
      <c r="K4" s="14" t="s">
        <v>88</v>
      </c>
    </row>
    <row r="5" spans="1:13" x14ac:dyDescent="0.4">
      <c r="A5" t="s">
        <v>194</v>
      </c>
      <c r="B5" s="15">
        <v>1075461.7320675128</v>
      </c>
      <c r="C5" s="16">
        <v>3663826</v>
      </c>
      <c r="E5" t="s">
        <v>194</v>
      </c>
      <c r="F5" s="15">
        <v>1059147</v>
      </c>
      <c r="G5" s="16">
        <f>F5*$G$3</f>
        <v>4204813.59</v>
      </c>
      <c r="I5" t="s">
        <v>194</v>
      </c>
      <c r="J5" s="15">
        <v>1074720.0751011034</v>
      </c>
      <c r="K5" s="16">
        <f>J5*$K$3</f>
        <v>4879229.1409590095</v>
      </c>
      <c r="M5" s="44"/>
    </row>
    <row r="6" spans="1:13"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s="44"/>
    </row>
    <row r="7" spans="1:13" x14ac:dyDescent="0.4">
      <c r="A7" t="s">
        <v>197</v>
      </c>
      <c r="B7" s="15">
        <v>57814.730923479161</v>
      </c>
      <c r="C7" s="16">
        <v>196960</v>
      </c>
      <c r="E7" t="s">
        <v>197</v>
      </c>
      <c r="F7" s="15">
        <v>58263</v>
      </c>
      <c r="G7" s="16">
        <f t="shared" si="0"/>
        <v>231304.11000000002</v>
      </c>
      <c r="I7" t="s">
        <v>197</v>
      </c>
      <c r="J7" s="15">
        <v>58263.192463850428</v>
      </c>
      <c r="K7" s="16">
        <f t="shared" si="1"/>
        <v>264514.89378588094</v>
      </c>
      <c r="M7" s="44"/>
    </row>
    <row r="8" spans="1:13" x14ac:dyDescent="0.4">
      <c r="A8" t="s">
        <v>198</v>
      </c>
      <c r="B8" s="15">
        <v>537962.332719445</v>
      </c>
      <c r="C8" s="16">
        <v>1832701</v>
      </c>
      <c r="E8" t="s">
        <v>198</v>
      </c>
      <c r="F8" s="15">
        <v>552478</v>
      </c>
      <c r="G8" s="16">
        <f t="shared" si="0"/>
        <v>2193337.66</v>
      </c>
      <c r="I8" t="s">
        <v>198</v>
      </c>
      <c r="J8" s="15">
        <v>548364.43485711806</v>
      </c>
      <c r="K8" s="16">
        <f t="shared" si="1"/>
        <v>2489574.534251316</v>
      </c>
      <c r="M8" s="44"/>
    </row>
    <row r="9" spans="1:13" x14ac:dyDescent="0.4">
      <c r="A9" t="s">
        <v>199</v>
      </c>
      <c r="B9" s="15">
        <v>120155.48460329951</v>
      </c>
      <c r="C9" s="16">
        <v>409339</v>
      </c>
      <c r="E9" t="s">
        <v>199</v>
      </c>
      <c r="F9" s="15">
        <v>120155</v>
      </c>
      <c r="G9" s="16">
        <f t="shared" si="0"/>
        <v>477015.35000000003</v>
      </c>
      <c r="I9" t="s">
        <v>199</v>
      </c>
      <c r="J9" s="15">
        <v>119265.35530160108</v>
      </c>
      <c r="K9" s="16">
        <f t="shared" si="1"/>
        <v>541464.71306926897</v>
      </c>
      <c r="M9" s="44"/>
    </row>
    <row r="10" spans="1:13" x14ac:dyDescent="0.4">
      <c r="A10" t="s">
        <v>201</v>
      </c>
      <c r="B10" s="15">
        <v>280022.39987629937</v>
      </c>
      <c r="C10" s="16">
        <v>953965</v>
      </c>
      <c r="E10" t="s">
        <v>201</v>
      </c>
      <c r="F10" s="15">
        <v>265674</v>
      </c>
      <c r="G10" s="16">
        <f t="shared" si="0"/>
        <v>1054725.78</v>
      </c>
      <c r="I10" t="s">
        <v>201</v>
      </c>
      <c r="J10" s="15">
        <v>315635.41302808712</v>
      </c>
      <c r="K10" s="16">
        <f t="shared" si="1"/>
        <v>1432984.7751475156</v>
      </c>
      <c r="M10" s="44"/>
    </row>
    <row r="11" spans="1:13" x14ac:dyDescent="0.4">
      <c r="A11" t="s">
        <v>200</v>
      </c>
      <c r="B11" s="15">
        <v>106166.70000000001</v>
      </c>
      <c r="C11" s="16">
        <v>361683</v>
      </c>
      <c r="E11" t="s">
        <v>200</v>
      </c>
      <c r="F11" s="15">
        <v>105746</v>
      </c>
      <c r="G11" s="16">
        <f t="shared" si="0"/>
        <v>419811.62</v>
      </c>
      <c r="I11" t="s">
        <v>200</v>
      </c>
      <c r="J11" s="15">
        <v>105746.41</v>
      </c>
      <c r="K11" s="16">
        <f t="shared" si="1"/>
        <v>480088.70140000002</v>
      </c>
      <c r="M11" s="44"/>
    </row>
    <row r="12" spans="1:13"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s="44"/>
    </row>
    <row r="13" spans="1:13" x14ac:dyDescent="0.4">
      <c r="A13" t="s">
        <v>202</v>
      </c>
      <c r="B13" s="15">
        <v>390796.88477064227</v>
      </c>
      <c r="C13" s="16">
        <v>1331346</v>
      </c>
      <c r="E13" t="s">
        <v>202</v>
      </c>
      <c r="F13" s="15">
        <v>396133</v>
      </c>
      <c r="G13" s="16">
        <f t="shared" si="0"/>
        <v>1572648.01</v>
      </c>
      <c r="I13" t="s">
        <v>202</v>
      </c>
      <c r="J13" s="15">
        <v>377998.91813531332</v>
      </c>
      <c r="K13" s="16">
        <f t="shared" si="1"/>
        <v>1716115.0883343224</v>
      </c>
      <c r="M13" s="44"/>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4"/>
    </row>
    <row r="15" spans="1:13" x14ac:dyDescent="0.4">
      <c r="M15" s="44"/>
    </row>
    <row r="17" spans="1:11" x14ac:dyDescent="0.4">
      <c r="A17" t="s">
        <v>88</v>
      </c>
      <c r="C17" s="36">
        <f>C14</f>
        <v>9364499</v>
      </c>
      <c r="E17" t="s">
        <v>88</v>
      </c>
      <c r="G17" s="36">
        <f>G14</f>
        <v>11029283.289999999</v>
      </c>
      <c r="I17" t="s">
        <v>88</v>
      </c>
      <c r="K17" s="36">
        <f>K14</f>
        <v>12857284.462265246</v>
      </c>
    </row>
    <row r="18" spans="1:11" x14ac:dyDescent="0.4">
      <c r="A18" t="s">
        <v>209</v>
      </c>
      <c r="C18" s="36">
        <f>'Project Status'!U55</f>
        <v>11602806.359999999</v>
      </c>
      <c r="E18" t="s">
        <v>209</v>
      </c>
      <c r="G18" s="36">
        <f>'Project Status'!T55</f>
        <v>3384630</v>
      </c>
      <c r="I18" t="s">
        <v>209</v>
      </c>
      <c r="K18" s="36">
        <f>'Project Status'!Y55</f>
        <v>0</v>
      </c>
    </row>
    <row r="19" spans="1:11" ht="15" thickBot="1" x14ac:dyDescent="0.45">
      <c r="A19" t="s">
        <v>123</v>
      </c>
      <c r="C19" s="76">
        <f>C17-C18</f>
        <v>-2238307.3599999994</v>
      </c>
      <c r="E19" t="s">
        <v>123</v>
      </c>
      <c r="G19" s="76">
        <f>G17-G18</f>
        <v>7644653.2899999991</v>
      </c>
      <c r="I19" t="s">
        <v>123</v>
      </c>
      <c r="K19" s="76">
        <f>K17-K18</f>
        <v>12857284.462265246</v>
      </c>
    </row>
    <row r="24" spans="1:11" x14ac:dyDescent="0.4">
      <c r="A24" s="19"/>
      <c r="E24" s="19"/>
      <c r="I24" s="19"/>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23046875" bestFit="1" customWidth="1"/>
    <col min="3" max="3" width="6.69140625" bestFit="1" customWidth="1"/>
    <col min="4" max="4" width="40.15234375" bestFit="1" customWidth="1"/>
    <col min="5" max="5" width="36.3828125" bestFit="1" customWidth="1"/>
    <col min="6" max="6" width="7"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Finalized</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339</v>
      </c>
      <c r="F9" t="s">
        <v>139</v>
      </c>
      <c r="H9" s="43">
        <v>24000</v>
      </c>
    </row>
    <row r="10" spans="1:11" x14ac:dyDescent="0.4">
      <c r="E10" s="22"/>
      <c r="H10" s="43"/>
    </row>
    <row r="12" spans="1:11" x14ac:dyDescent="0.4">
      <c r="F12" s="10"/>
      <c r="G12" s="10"/>
      <c r="H12" s="46"/>
    </row>
    <row r="18" spans="5:8" x14ac:dyDescent="0.4">
      <c r="E18" s="161" t="s">
        <v>270</v>
      </c>
      <c r="F18" s="162"/>
      <c r="G18" s="161"/>
      <c r="H18" s="163">
        <f>SUM(H9:H17)</f>
        <v>24000</v>
      </c>
    </row>
    <row r="20" spans="5:8" x14ac:dyDescent="0.4">
      <c r="E20" s="164" t="s">
        <v>136</v>
      </c>
      <c r="F20" s="164"/>
      <c r="G20" s="164"/>
      <c r="H20" s="165">
        <f>H4-H18</f>
        <v>0</v>
      </c>
    </row>
  </sheetData>
  <hyperlinks>
    <hyperlink ref="K1" location="'Project Status'!A1" display="'Project Status'!A1" xr:uid="{E8A0A439-2AB4-4540-942F-1B3D83DD7ED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23046875" bestFit="1" customWidth="1"/>
    <col min="3" max="3" width="6.69140625" bestFit="1" customWidth="1"/>
    <col min="4" max="4" width="40.15234375" bestFit="1" customWidth="1"/>
    <col min="5" max="5" width="30.3828125" bestFit="1" customWidth="1"/>
    <col min="6" max="6" width="17.53515625"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Finalized</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339</v>
      </c>
      <c r="F9" t="s">
        <v>139</v>
      </c>
      <c r="H9" s="43">
        <v>24000</v>
      </c>
    </row>
    <row r="10" spans="1:11" x14ac:dyDescent="0.4">
      <c r="E10" s="22"/>
      <c r="H10" s="43"/>
    </row>
    <row r="12" spans="1:11" x14ac:dyDescent="0.4">
      <c r="F12" s="10"/>
      <c r="G12" s="10"/>
      <c r="H12" s="46"/>
    </row>
    <row r="18" spans="5:8" x14ac:dyDescent="0.4">
      <c r="E18" s="161" t="s">
        <v>270</v>
      </c>
      <c r="F18" s="162"/>
      <c r="G18" s="161"/>
      <c r="H18" s="163">
        <f>SUM(H9:H17)</f>
        <v>24000</v>
      </c>
    </row>
    <row r="20" spans="5:8" x14ac:dyDescent="0.4">
      <c r="E20" s="164" t="s">
        <v>136</v>
      </c>
      <c r="F20" s="164"/>
      <c r="G20" s="164"/>
      <c r="H20" s="165">
        <f>H4-H18</f>
        <v>0</v>
      </c>
    </row>
  </sheetData>
  <hyperlinks>
    <hyperlink ref="K1" location="'Project Status'!A1" display="'Project Status'!A1" xr:uid="{9BBBF562-A58E-43EF-88BF-D8E408EC28D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23046875" bestFit="1" customWidth="1"/>
    <col min="3" max="3" width="6.69140625" bestFit="1" customWidth="1"/>
    <col min="4" max="4" width="40.15234375" bestFit="1" customWidth="1"/>
    <col min="5" max="5" width="27.69140625" bestFit="1" customWidth="1"/>
    <col min="6" max="6" width="7"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v>
      </c>
      <c r="F4" s="11" t="str">
        <f>VLOOKUP(A4,'Project Status'!C:J,8,FALSE)</f>
        <v>Warranty or Construction Closeout</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339</v>
      </c>
      <c r="F9" t="s">
        <v>139</v>
      </c>
      <c r="H9" s="43">
        <v>24000</v>
      </c>
    </row>
    <row r="10" spans="1:11" x14ac:dyDescent="0.4">
      <c r="E10" s="22"/>
      <c r="H10" s="43"/>
    </row>
    <row r="12" spans="1:11" x14ac:dyDescent="0.4">
      <c r="F12" s="10"/>
      <c r="G12" s="10"/>
      <c r="H12" s="46"/>
    </row>
    <row r="18" spans="5:8" x14ac:dyDescent="0.4">
      <c r="E18" s="161" t="s">
        <v>270</v>
      </c>
      <c r="F18" s="162"/>
      <c r="G18" s="161"/>
      <c r="H18" s="163">
        <f>SUM(H9:H17)</f>
        <v>24000</v>
      </c>
    </row>
    <row r="20" spans="5:8" x14ac:dyDescent="0.4">
      <c r="E20" s="164" t="s">
        <v>136</v>
      </c>
      <c r="F20" s="164"/>
      <c r="G20" s="164"/>
      <c r="H20" s="165">
        <f>H4-H18</f>
        <v>0</v>
      </c>
    </row>
  </sheetData>
  <hyperlinks>
    <hyperlink ref="K1" location="'Project Status'!A1" display="'Project Status'!A1" xr:uid="{B25E1A88-3C72-4B3E-99ED-E68E24C515C3}"/>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Construction</v>
      </c>
      <c r="G4" s="11" t="str">
        <f>VLOOKUP(A4,'Project Status'!C:K,9,FALSE)</f>
        <v>Ben Bedock</v>
      </c>
      <c r="H4" s="99">
        <f>VLOOKUP(A4,'Project Status'!C:M,11,FALSE)</f>
        <v>499184</v>
      </c>
    </row>
    <row r="8" spans="1:11" x14ac:dyDescent="0.4">
      <c r="E8" s="42" t="s">
        <v>124</v>
      </c>
    </row>
    <row r="9" spans="1:11" x14ac:dyDescent="0.4">
      <c r="E9" s="22" t="s">
        <v>355</v>
      </c>
      <c r="F9" t="s">
        <v>139</v>
      </c>
      <c r="H9" s="43">
        <v>17600</v>
      </c>
    </row>
    <row r="10" spans="1:11" x14ac:dyDescent="0.4">
      <c r="E10" s="22" t="s">
        <v>377</v>
      </c>
      <c r="F10" t="s">
        <v>214</v>
      </c>
      <c r="H10" s="43">
        <v>4000</v>
      </c>
    </row>
    <row r="11" spans="1:11" x14ac:dyDescent="0.4">
      <c r="E11" s="22" t="s">
        <v>413</v>
      </c>
      <c r="F11" t="s">
        <v>146</v>
      </c>
      <c r="H11" s="43">
        <v>477584</v>
      </c>
    </row>
    <row r="12" spans="1:11" x14ac:dyDescent="0.4">
      <c r="F12" s="10"/>
      <c r="G12" s="10"/>
      <c r="H12" s="46"/>
    </row>
    <row r="18" spans="5:8" x14ac:dyDescent="0.4">
      <c r="E18" s="161" t="s">
        <v>270</v>
      </c>
      <c r="F18" s="162"/>
      <c r="G18" s="161"/>
      <c r="H18" s="163">
        <f>SUM(H9:H17)</f>
        <v>499184</v>
      </c>
    </row>
    <row r="20" spans="5:8" x14ac:dyDescent="0.4">
      <c r="E20" s="164" t="s">
        <v>136</v>
      </c>
      <c r="F20" s="164"/>
      <c r="G20" s="164"/>
      <c r="H20" s="165">
        <f>H4-H18</f>
        <v>0</v>
      </c>
    </row>
  </sheetData>
  <hyperlinks>
    <hyperlink ref="K1" location="'Project Status'!A1" display="'Project Status'!A1" xr:uid="{44D30970-1FF4-45A8-8754-6C4835EEDD6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Status'!C:J,8,FALSE)</f>
        <v>Award</v>
      </c>
      <c r="G4" s="11" t="str">
        <f>VLOOKUP(A4,'Project Status'!C:K,9,FALSE)</f>
        <v>Sean Rewers</v>
      </c>
      <c r="H4" s="99">
        <f>VLOOKUP(A4,'Project Status'!C:M,11,FALSE)</f>
        <v>98341</v>
      </c>
    </row>
    <row r="8" spans="1:11" x14ac:dyDescent="0.4">
      <c r="E8" s="42" t="s">
        <v>124</v>
      </c>
    </row>
    <row r="9" spans="1:11" x14ac:dyDescent="0.4">
      <c r="E9" s="22" t="s">
        <v>395</v>
      </c>
      <c r="F9" t="s">
        <v>214</v>
      </c>
      <c r="H9" s="43">
        <v>98341</v>
      </c>
    </row>
    <row r="12" spans="1:11" x14ac:dyDescent="0.4">
      <c r="F12" s="10"/>
      <c r="G12" s="10"/>
      <c r="H12" s="46"/>
    </row>
    <row r="18" spans="5:8" x14ac:dyDescent="0.4">
      <c r="E18" s="161" t="s">
        <v>270</v>
      </c>
      <c r="F18" s="162"/>
      <c r="G18" s="161"/>
      <c r="H18" s="163">
        <f>SUM(H9:H17)</f>
        <v>98341</v>
      </c>
    </row>
    <row r="20" spans="5:8" x14ac:dyDescent="0.4">
      <c r="E20" s="164" t="s">
        <v>136</v>
      </c>
      <c r="F20" s="164"/>
      <c r="G20" s="164"/>
      <c r="H20" s="165">
        <f>H4-H18</f>
        <v>0</v>
      </c>
    </row>
  </sheetData>
  <hyperlinks>
    <hyperlink ref="K1" location="'Project Status'!A1" display="'Project Status'!A1" xr:uid="{BBB58F13-EE47-4C84-86AC-49A8F38EFDC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Construction</v>
      </c>
      <c r="G4" s="11" t="str">
        <f>VLOOKUP(A4,'Project Status'!C:K,9,FALSE)</f>
        <v>Ben Bedock</v>
      </c>
      <c r="H4" s="99">
        <f>VLOOKUP(A4,'Project Status'!C:M,11,FALSE)</f>
        <v>61045</v>
      </c>
    </row>
    <row r="8" spans="1:11" x14ac:dyDescent="0.4">
      <c r="E8" s="42" t="s">
        <v>124</v>
      </c>
    </row>
    <row r="9" spans="1:11" x14ac:dyDescent="0.4">
      <c r="E9" s="22" t="s">
        <v>395</v>
      </c>
      <c r="F9" t="s">
        <v>139</v>
      </c>
      <c r="H9" s="43">
        <v>4100</v>
      </c>
    </row>
    <row r="10" spans="1:11" x14ac:dyDescent="0.4">
      <c r="E10" s="22" t="s">
        <v>413</v>
      </c>
      <c r="F10" t="s">
        <v>214</v>
      </c>
      <c r="H10" s="43">
        <v>56945</v>
      </c>
    </row>
    <row r="12" spans="1:11" x14ac:dyDescent="0.4">
      <c r="F12" s="10"/>
      <c r="G12" s="10"/>
      <c r="H12" s="46"/>
    </row>
    <row r="18" spans="5:8" x14ac:dyDescent="0.4">
      <c r="E18" s="161" t="s">
        <v>270</v>
      </c>
      <c r="F18" s="162"/>
      <c r="G18" s="161"/>
      <c r="H18" s="163">
        <f>SUM(H9:H17)</f>
        <v>61045</v>
      </c>
    </row>
    <row r="20" spans="5:8" x14ac:dyDescent="0.4">
      <c r="E20" s="164" t="s">
        <v>136</v>
      </c>
      <c r="F20" s="164"/>
      <c r="G20" s="164"/>
      <c r="H20" s="165">
        <f>H4-H18</f>
        <v>0</v>
      </c>
    </row>
  </sheetData>
  <hyperlinks>
    <hyperlink ref="K1" location="'Project Status'!A1" display="'Project Status'!A1" xr:uid="{35E76966-DD8F-4772-BA40-8D915A539AE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E10" sqref="E1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Construction</v>
      </c>
      <c r="G4" s="11" t="str">
        <f>VLOOKUP(A4,'Project Status'!C:K,9,FALSE)</f>
        <v>Ben Bedock</v>
      </c>
      <c r="H4" s="99">
        <f>VLOOKUP(A4,'Project Status'!C:M,11,FALSE)</f>
        <v>59798</v>
      </c>
    </row>
    <row r="8" spans="1:11" x14ac:dyDescent="0.4">
      <c r="E8" s="42" t="s">
        <v>124</v>
      </c>
    </row>
    <row r="9" spans="1:11" x14ac:dyDescent="0.4">
      <c r="E9" s="22" t="s">
        <v>395</v>
      </c>
      <c r="F9" t="s">
        <v>139</v>
      </c>
      <c r="H9" s="43">
        <v>4100</v>
      </c>
    </row>
    <row r="10" spans="1:11" x14ac:dyDescent="0.4">
      <c r="E10" s="22" t="s">
        <v>413</v>
      </c>
      <c r="F10" t="s">
        <v>214</v>
      </c>
      <c r="H10" s="43">
        <v>55698</v>
      </c>
    </row>
    <row r="12" spans="1:11" x14ac:dyDescent="0.4">
      <c r="F12" s="10"/>
      <c r="G12" s="10"/>
      <c r="H12" s="46"/>
    </row>
    <row r="18" spans="5:8" x14ac:dyDescent="0.4">
      <c r="E18" s="161" t="s">
        <v>270</v>
      </c>
      <c r="F18" s="162"/>
      <c r="G18" s="161"/>
      <c r="H18" s="163">
        <f>SUM(H9:H17)</f>
        <v>59798</v>
      </c>
    </row>
    <row r="20" spans="5:8" x14ac:dyDescent="0.4">
      <c r="E20" s="164" t="s">
        <v>136</v>
      </c>
      <c r="F20" s="164"/>
      <c r="G20" s="164"/>
      <c r="H20" s="165">
        <f>H4-H18</f>
        <v>0</v>
      </c>
    </row>
  </sheetData>
  <hyperlinks>
    <hyperlink ref="K1" location="'Project Status'!A1" display="'Project Status'!A1" xr:uid="{76797D86-7F8C-45BA-941C-B03DD87AC227}"/>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sqref="A1:XFD1048576"/>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Construction</v>
      </c>
      <c r="G4" s="11" t="str">
        <f>VLOOKUP(A4,'Project Status'!C:K,9,FALSE)</f>
        <v>Ben Bedock</v>
      </c>
      <c r="H4" s="99">
        <f>VLOOKUP(A4,'Project Status'!C:M,11,FALSE)</f>
        <v>96612</v>
      </c>
    </row>
    <row r="8" spans="1:11" x14ac:dyDescent="0.4">
      <c r="E8" s="42" t="s">
        <v>124</v>
      </c>
    </row>
    <row r="9" spans="1:11" x14ac:dyDescent="0.4">
      <c r="E9" s="22" t="s">
        <v>395</v>
      </c>
      <c r="F9" t="s">
        <v>139</v>
      </c>
      <c r="H9" s="43">
        <v>4100</v>
      </c>
    </row>
    <row r="10" spans="1:11" x14ac:dyDescent="0.4">
      <c r="E10" s="22" t="s">
        <v>413</v>
      </c>
      <c r="F10" t="s">
        <v>214</v>
      </c>
      <c r="H10" s="43">
        <v>92512</v>
      </c>
    </row>
    <row r="12" spans="1:11" x14ac:dyDescent="0.4">
      <c r="F12" s="10"/>
      <c r="G12" s="10"/>
      <c r="H12" s="46"/>
    </row>
    <row r="18" spans="5:8" x14ac:dyDescent="0.4">
      <c r="E18" s="161" t="s">
        <v>270</v>
      </c>
      <c r="F18" s="162"/>
      <c r="G18" s="161"/>
      <c r="H18" s="163">
        <f>SUM(H9:H17)</f>
        <v>96612</v>
      </c>
    </row>
    <row r="20" spans="5:8" x14ac:dyDescent="0.4">
      <c r="E20" s="164" t="s">
        <v>136</v>
      </c>
      <c r="F20" s="164"/>
      <c r="G20" s="164"/>
      <c r="H20" s="165">
        <f>H4-H18</f>
        <v>0</v>
      </c>
    </row>
  </sheetData>
  <hyperlinks>
    <hyperlink ref="K1" location="'Project Status'!A1" display="'Project Status'!A1" xr:uid="{6DCB42CD-4205-4A73-82FB-AB2261487C46}"/>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Status'!C:J,8,FALSE)</f>
        <v>Award</v>
      </c>
      <c r="G4" s="11" t="str">
        <f>VLOOKUP(A4,'Project Status'!C:K,9,FALSE)</f>
        <v>Jay Surprenant</v>
      </c>
      <c r="H4" s="99">
        <f>VLOOKUP(A4,'Project Status'!C:M,11,FALSE)</f>
        <v>0</v>
      </c>
    </row>
    <row r="8" spans="1:11" x14ac:dyDescent="0.4">
      <c r="E8" s="42" t="s">
        <v>124</v>
      </c>
    </row>
    <row r="9" spans="1:11" x14ac:dyDescent="0.4">
      <c r="E9" s="22" t="s">
        <v>216</v>
      </c>
      <c r="F9" t="s">
        <v>139</v>
      </c>
      <c r="H9" s="43">
        <v>404655.91</v>
      </c>
    </row>
    <row r="10" spans="1:11" x14ac:dyDescent="0.4">
      <c r="E10" s="22"/>
      <c r="H10" s="43"/>
    </row>
    <row r="12" spans="1:11" x14ac:dyDescent="0.4">
      <c r="F12" s="10"/>
      <c r="G12" s="10"/>
      <c r="H12" s="46"/>
    </row>
    <row r="18" spans="5:8" x14ac:dyDescent="0.4">
      <c r="E18" s="161" t="s">
        <v>270</v>
      </c>
      <c r="F18" s="162"/>
      <c r="G18" s="161"/>
      <c r="H18" s="163">
        <f>SUM(H9:H17)</f>
        <v>404655.91</v>
      </c>
    </row>
    <row r="20" spans="5:8" x14ac:dyDescent="0.4">
      <c r="E20" s="164" t="s">
        <v>136</v>
      </c>
      <c r="F20" s="164"/>
      <c r="G20" s="164"/>
      <c r="H20" s="165">
        <f>H4-H18</f>
        <v>-404655.91</v>
      </c>
    </row>
  </sheetData>
  <hyperlinks>
    <hyperlink ref="K1" location="'Project Status'!A1" display="'Project Status'!A1" xr:uid="{F7F8C54D-A01C-4604-8085-EC56EA3D760E}"/>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Status'!C:J,8,FALSE)</f>
        <v>Award</v>
      </c>
      <c r="G4" s="11" t="str">
        <f>VLOOKUP(A4,'Project Status'!C:K,9,FALSE)</f>
        <v>Sean Rewers</v>
      </c>
      <c r="H4" s="99">
        <f>VLOOKUP(A4,'Project Status'!C:M,11,FALSE)</f>
        <v>99000</v>
      </c>
    </row>
    <row r="8" spans="1:11" x14ac:dyDescent="0.4">
      <c r="E8" s="42" t="s">
        <v>124</v>
      </c>
    </row>
    <row r="9" spans="1:11" x14ac:dyDescent="0.4">
      <c r="E9" s="22" t="s">
        <v>413</v>
      </c>
      <c r="F9" t="s">
        <v>139</v>
      </c>
      <c r="H9" s="43">
        <v>99000</v>
      </c>
    </row>
    <row r="10" spans="1:11" x14ac:dyDescent="0.4">
      <c r="E10" s="22"/>
      <c r="H10" s="43"/>
    </row>
    <row r="12" spans="1:11" x14ac:dyDescent="0.4">
      <c r="F12" s="10"/>
      <c r="G12" s="10"/>
      <c r="H12" s="46"/>
    </row>
    <row r="18" spans="5:8" x14ac:dyDescent="0.4">
      <c r="E18" s="161" t="s">
        <v>270</v>
      </c>
      <c r="F18" s="162"/>
      <c r="G18" s="161"/>
      <c r="H18" s="163">
        <f>SUM(H9:H17)</f>
        <v>99000</v>
      </c>
    </row>
    <row r="20" spans="5:8" x14ac:dyDescent="0.4">
      <c r="E20" s="164" t="s">
        <v>136</v>
      </c>
      <c r="F20" s="164"/>
      <c r="G20" s="164"/>
      <c r="H20" s="165">
        <f>H4-H18</f>
        <v>0</v>
      </c>
    </row>
  </sheetData>
  <hyperlinks>
    <hyperlink ref="K1" location="'Project Status'!A1" display="'Project Status'!A1" xr:uid="{AA7E3536-03A0-4A48-A715-97F0A5AE270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A2" sqref="A2"/>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3" t="s">
        <v>191</v>
      </c>
      <c r="B1"/>
      <c r="D1"/>
      <c r="E1"/>
      <c r="F1"/>
      <c r="G1"/>
      <c r="H1"/>
      <c r="I1"/>
      <c r="J1"/>
      <c r="K1"/>
      <c r="L1"/>
    </row>
    <row r="2" spans="1:12" s="8" customFormat="1" x14ac:dyDescent="0.4">
      <c r="A2" s="20"/>
      <c r="B2" s="34"/>
      <c r="C2"/>
      <c r="D2"/>
      <c r="E2"/>
      <c r="F2"/>
      <c r="G2"/>
      <c r="H2"/>
      <c r="I2"/>
      <c r="J2"/>
      <c r="K2"/>
      <c r="L2"/>
    </row>
    <row r="3" spans="1:12" ht="15" thickBot="1" x14ac:dyDescent="0.45"/>
    <row r="4" spans="1:12" ht="43.75" customHeight="1" x14ac:dyDescent="0.4">
      <c r="A4" s="23" t="s">
        <v>86</v>
      </c>
      <c r="B4" s="23" t="s">
        <v>99</v>
      </c>
      <c r="C4" s="139" t="s">
        <v>250</v>
      </c>
      <c r="D4" s="140" t="s">
        <v>316</v>
      </c>
      <c r="E4" s="141" t="s">
        <v>122</v>
      </c>
      <c r="F4" s="140" t="s">
        <v>315</v>
      </c>
      <c r="G4" s="142" t="s">
        <v>246</v>
      </c>
      <c r="H4" s="151" t="s">
        <v>251</v>
      </c>
      <c r="I4" s="152" t="s">
        <v>317</v>
      </c>
      <c r="J4" s="141" t="s">
        <v>122</v>
      </c>
      <c r="K4" s="152" t="s">
        <v>248</v>
      </c>
      <c r="L4" s="142" t="s">
        <v>249</v>
      </c>
    </row>
    <row r="5" spans="1:12" x14ac:dyDescent="0.4">
      <c r="A5" t="s">
        <v>194</v>
      </c>
      <c r="B5" s="21">
        <f>Contributions!B5</f>
        <v>1075461.7320675128</v>
      </c>
      <c r="C5" s="143">
        <f>Contributions!C5/1000000</f>
        <v>3.6638259999999998</v>
      </c>
      <c r="D5" s="144">
        <f>SUMIF('Project Status'!G:G,'Shared Building Allocation'!A5,'Project Status'!R:R)/1000000</f>
        <v>1.7179739999999999</v>
      </c>
      <c r="E5" s="145">
        <f>D22/1000000</f>
        <v>0.55831562499999998</v>
      </c>
      <c r="F5" s="144">
        <f>D5+E5</f>
        <v>2.276289625</v>
      </c>
      <c r="G5" s="146">
        <f>C5-F5</f>
        <v>1.3875363749999998</v>
      </c>
      <c r="H5" s="153">
        <f>Contributions!G5/1000000</f>
        <v>4.2048135899999997</v>
      </c>
      <c r="I5" s="154">
        <f>SUMIF('Project Status'!G:G,'Shared Building Allocation'!A5,'Project Status'!U:U)/1000000</f>
        <v>2.3987796800000001</v>
      </c>
      <c r="J5" s="145">
        <f>I22/1000000</f>
        <v>-9.4282859999999975E-3</v>
      </c>
      <c r="K5" s="154">
        <f t="shared" ref="K5:K13" si="0">I5+J5</f>
        <v>2.3893513940000002</v>
      </c>
      <c r="L5" s="146">
        <f>H5-K5</f>
        <v>1.8154621959999995</v>
      </c>
    </row>
    <row r="6" spans="1:12" x14ac:dyDescent="0.4">
      <c r="A6" t="s">
        <v>196</v>
      </c>
      <c r="B6" s="21">
        <f>Contributions!B6</f>
        <v>121421.42689276834</v>
      </c>
      <c r="C6" s="143">
        <f>Contributions!C6/1000000</f>
        <v>0.41365200000000002</v>
      </c>
      <c r="D6" s="144">
        <f>SUMIF('Project Status'!G:G,'Shared Building Allocation'!A6,'Project Status'!R:R)/1000000</f>
        <v>0.57428999999999997</v>
      </c>
      <c r="E6" s="145"/>
      <c r="F6" s="144">
        <f t="shared" ref="F6:F13" si="1">D6+E6</f>
        <v>0.57428999999999997</v>
      </c>
      <c r="G6" s="146">
        <f t="shared" ref="G6:G13" si="2">C6-F6</f>
        <v>-0.16063799999999995</v>
      </c>
      <c r="H6" s="153">
        <f>Contributions!G6/1000000</f>
        <v>0.48204136999999997</v>
      </c>
      <c r="I6" s="154">
        <f>SUMIF('Project Status'!G:G,'Shared Building Allocation'!A6,'Project Status'!U:U)/1000000</f>
        <v>1.9168099999999999</v>
      </c>
      <c r="J6" s="145"/>
      <c r="K6" s="154">
        <f t="shared" si="0"/>
        <v>1.9168099999999999</v>
      </c>
      <c r="L6" s="146">
        <f t="shared" ref="L6:L13" si="3">H6-K6</f>
        <v>-1.43476863</v>
      </c>
    </row>
    <row r="7" spans="1:12" x14ac:dyDescent="0.4">
      <c r="A7" t="s">
        <v>197</v>
      </c>
      <c r="B7" s="21">
        <f>Contributions!B7</f>
        <v>57814.730923479161</v>
      </c>
      <c r="C7" s="143">
        <f>Contributions!C7/1000000</f>
        <v>0.19696</v>
      </c>
      <c r="D7" s="144">
        <f>SUMIF('Project Status'!G:G,'Shared Building Allocation'!A7,'Project Status'!R:R)/1000000</f>
        <v>9.6362500000000004E-2</v>
      </c>
      <c r="E7" s="145"/>
      <c r="F7" s="144">
        <f t="shared" si="1"/>
        <v>9.6362500000000004E-2</v>
      </c>
      <c r="G7" s="146">
        <f t="shared" si="2"/>
        <v>0.10059749999999999</v>
      </c>
      <c r="H7" s="153">
        <f>Contributions!G7/1000000</f>
        <v>0.23130411000000001</v>
      </c>
      <c r="I7" s="154">
        <f>SUMIF('Project Status'!G:G,'Shared Building Allocation'!A7,'Project Status'!U:U)/1000000</f>
        <v>3.6603599999999998</v>
      </c>
      <c r="J7" s="145"/>
      <c r="K7" s="154">
        <f t="shared" si="0"/>
        <v>3.6603599999999998</v>
      </c>
      <c r="L7" s="146">
        <f t="shared" si="3"/>
        <v>-3.4290558899999999</v>
      </c>
    </row>
    <row r="8" spans="1:12" x14ac:dyDescent="0.4">
      <c r="A8" t="s">
        <v>198</v>
      </c>
      <c r="B8" s="21">
        <f>Contributions!B8</f>
        <v>537962.332719445</v>
      </c>
      <c r="C8" s="143">
        <f>Contributions!C8/1000000</f>
        <v>1.8327009999999999</v>
      </c>
      <c r="D8" s="144">
        <f>SUMIF('Project Status'!G:G,'Shared Building Allocation'!A8,'Project Status'!R:R)/1000000</f>
        <v>0.35299999999999998</v>
      </c>
      <c r="E8" s="145"/>
      <c r="F8" s="144">
        <f t="shared" si="1"/>
        <v>0.35299999999999998</v>
      </c>
      <c r="G8" s="146">
        <f t="shared" si="2"/>
        <v>1.4797009999999999</v>
      </c>
      <c r="H8" s="153">
        <f>Contributions!G8/1000000</f>
        <v>2.1933376600000001</v>
      </c>
      <c r="I8" s="154">
        <f>SUMIF('Project Status'!G:G,'Shared Building Allocation'!A8,'Project Status'!U:U)/1000000</f>
        <v>2.0249329999999999</v>
      </c>
      <c r="J8" s="145"/>
      <c r="K8" s="154">
        <f t="shared" si="0"/>
        <v>2.0249329999999999</v>
      </c>
      <c r="L8" s="146">
        <f t="shared" si="3"/>
        <v>0.16840466000000021</v>
      </c>
    </row>
    <row r="9" spans="1:12" x14ac:dyDescent="0.4">
      <c r="A9" t="s">
        <v>199</v>
      </c>
      <c r="B9" s="21">
        <f>Contributions!B9</f>
        <v>120155.48460329951</v>
      </c>
      <c r="C9" s="143">
        <f>Contributions!C9/1000000</f>
        <v>0.40933900000000001</v>
      </c>
      <c r="D9" s="144">
        <f>SUMIF('Project Status'!G:G,'Shared Building Allocation'!A9,'Project Status'!R:R)/1000000</f>
        <v>1.2061345000000001</v>
      </c>
      <c r="E9" s="145"/>
      <c r="F9" s="144">
        <f t="shared" si="1"/>
        <v>1.2061345000000001</v>
      </c>
      <c r="G9" s="146">
        <f t="shared" si="2"/>
        <v>-0.7967955000000001</v>
      </c>
      <c r="H9" s="153">
        <f>Contributions!G9/1000000</f>
        <v>0.47701535000000006</v>
      </c>
      <c r="I9" s="154">
        <f>SUMIF('Project Status'!G:G,'Shared Building Allocation'!A9,'Project Status'!U:U)/1000000</f>
        <v>0.64298500000000003</v>
      </c>
      <c r="J9" s="145"/>
      <c r="K9" s="154">
        <f t="shared" si="0"/>
        <v>0.64298500000000003</v>
      </c>
      <c r="L9" s="146">
        <f t="shared" si="3"/>
        <v>-0.16596964999999997</v>
      </c>
    </row>
    <row r="10" spans="1:12" x14ac:dyDescent="0.4">
      <c r="A10" t="s">
        <v>201</v>
      </c>
      <c r="B10" s="21">
        <f>Contributions!B10</f>
        <v>280022.39987629937</v>
      </c>
      <c r="C10" s="143">
        <f>Contributions!C10/1000000</f>
        <v>0.95396499999999995</v>
      </c>
      <c r="D10" s="144">
        <f>SUMIF('Project Status'!G:G,'Shared Building Allocation'!A10,'Project Status'!R:R)/1000000</f>
        <v>1.5951875</v>
      </c>
      <c r="E10" s="145">
        <f>-D22/1000000</f>
        <v>-0.55831562499999998</v>
      </c>
      <c r="F10" s="144">
        <f t="shared" si="1"/>
        <v>1.0368718750000001</v>
      </c>
      <c r="G10" s="146">
        <f t="shared" si="2"/>
        <v>-8.2906875000000158E-2</v>
      </c>
      <c r="H10" s="153">
        <f>Contributions!G10/1000000</f>
        <v>1.0547257800000001</v>
      </c>
      <c r="I10" s="154">
        <f>SUMIF('Project Status'!G:G,'Shared Building Allocation'!A10,'Project Status'!U:U)/1000000</f>
        <v>-2.693796E-2</v>
      </c>
      <c r="J10" s="145">
        <f>-I22/1000000</f>
        <v>9.4282859999999975E-3</v>
      </c>
      <c r="K10" s="154">
        <f t="shared" si="0"/>
        <v>-1.7509674000000003E-2</v>
      </c>
      <c r="L10" s="146">
        <f t="shared" si="3"/>
        <v>1.0722354540000001</v>
      </c>
    </row>
    <row r="11" spans="1:12" x14ac:dyDescent="0.4">
      <c r="A11" t="s">
        <v>200</v>
      </c>
      <c r="B11" s="21">
        <f>Contributions!B11</f>
        <v>106166.70000000001</v>
      </c>
      <c r="C11" s="143">
        <f>Contributions!C11/1000000</f>
        <v>0.36168299999999998</v>
      </c>
      <c r="D11" s="144">
        <f>SUMIF('Project Status'!G:G,'Shared Building Allocation'!A11,'Project Status'!R:R)/1000000</f>
        <v>4.8999999999999998E-3</v>
      </c>
      <c r="E11" s="145"/>
      <c r="F11" s="144">
        <f t="shared" si="1"/>
        <v>4.8999999999999998E-3</v>
      </c>
      <c r="G11" s="146">
        <f t="shared" si="2"/>
        <v>0.35678299999999996</v>
      </c>
      <c r="H11" s="153">
        <f>Contributions!G11/1000000</f>
        <v>0.41981162</v>
      </c>
      <c r="I11" s="154">
        <f>SUMIF('Project Status'!G:G,'Shared Building Allocation'!A11,'Project Status'!U:U)/1000000</f>
        <v>0.28652699999999998</v>
      </c>
      <c r="J11" s="145"/>
      <c r="K11" s="154">
        <f t="shared" si="0"/>
        <v>0.28652699999999998</v>
      </c>
      <c r="L11" s="146">
        <f t="shared" si="3"/>
        <v>0.13328462000000002</v>
      </c>
    </row>
    <row r="12" spans="1:12" x14ac:dyDescent="0.4">
      <c r="A12" t="s">
        <v>195</v>
      </c>
      <c r="B12" s="21">
        <f>Contributions!B12</f>
        <v>59008.361666666671</v>
      </c>
      <c r="C12" s="143">
        <f>Contributions!C12/1000000</f>
        <v>0.20102700000000001</v>
      </c>
      <c r="D12" s="144">
        <f>SUMIF('Project Status'!G:G,'Shared Building Allocation'!A12,'Project Status'!R:R)/1000000</f>
        <v>0.3</v>
      </c>
      <c r="E12" s="145"/>
      <c r="F12" s="144">
        <f t="shared" si="1"/>
        <v>0.3</v>
      </c>
      <c r="G12" s="146">
        <f t="shared" si="2"/>
        <v>-9.8972999999999978E-2</v>
      </c>
      <c r="H12" s="153">
        <f>Contributions!G12/1000000</f>
        <v>0.39358580000000004</v>
      </c>
      <c r="I12" s="154">
        <f>SUMIF('Project Status'!G:G,'Shared Building Allocation'!A12,'Project Status'!U:U)/1000000</f>
        <v>0</v>
      </c>
      <c r="J12" s="145"/>
      <c r="K12" s="154">
        <f t="shared" si="0"/>
        <v>0</v>
      </c>
      <c r="L12" s="146">
        <f t="shared" si="3"/>
        <v>0.39358580000000004</v>
      </c>
    </row>
    <row r="13" spans="1:12" x14ac:dyDescent="0.4">
      <c r="A13" t="s">
        <v>202</v>
      </c>
      <c r="B13" s="21">
        <f>Contributions!B13</f>
        <v>390796.88477064227</v>
      </c>
      <c r="C13" s="143">
        <f>Contributions!C13/1000000</f>
        <v>1.3313459999999999</v>
      </c>
      <c r="D13" s="144">
        <f>SUMIF('Project Status'!G:G,'Shared Building Allocation'!A13,'Project Status'!R:R)/1000000</f>
        <v>2.9494377599999999</v>
      </c>
      <c r="E13" s="145"/>
      <c r="F13" s="144">
        <f t="shared" si="1"/>
        <v>2.9494377599999999</v>
      </c>
      <c r="G13" s="146">
        <f t="shared" si="2"/>
        <v>-1.61809176</v>
      </c>
      <c r="H13" s="153">
        <f>Contributions!G13/1000000</f>
        <v>1.57264801</v>
      </c>
      <c r="I13" s="154">
        <f>SUMIF('Project Status'!G:G,'Shared Building Allocation'!A13,'Project Status'!U:U)/1000000</f>
        <v>0.60034964000000002</v>
      </c>
      <c r="J13" s="145"/>
      <c r="K13" s="154">
        <f t="shared" si="0"/>
        <v>0.60034964000000002</v>
      </c>
      <c r="L13" s="146">
        <f t="shared" si="3"/>
        <v>0.97229836999999997</v>
      </c>
    </row>
    <row r="14" spans="1:12" ht="15" thickBot="1" x14ac:dyDescent="0.45">
      <c r="A14" s="24"/>
      <c r="B14" s="24">
        <v>2748810.0535201132</v>
      </c>
      <c r="C14" s="147">
        <f>SUM(C5:C13)</f>
        <v>9.3644990000000004</v>
      </c>
      <c r="D14" s="148">
        <f>SUM(D5:D13)</f>
        <v>8.7972862599999999</v>
      </c>
      <c r="E14" s="149"/>
      <c r="F14" s="148">
        <f>SUM(F5:F13)</f>
        <v>8.7972862599999999</v>
      </c>
      <c r="G14" s="150">
        <f>SUM(G5:G13)</f>
        <v>0.56721273999999955</v>
      </c>
      <c r="H14" s="155">
        <f>SUM(H5:H13)</f>
        <v>11.02928329</v>
      </c>
      <c r="I14" s="156">
        <f>SUM(I5:I13)</f>
        <v>11.503806359999999</v>
      </c>
      <c r="J14" s="149"/>
      <c r="K14" s="156">
        <f>SUM(K5:K13)</f>
        <v>11.503806359999999</v>
      </c>
      <c r="L14" s="150">
        <f>SUM(L5:L13)</f>
        <v>-0.47452306999999994</v>
      </c>
    </row>
    <row r="16" spans="1:12" x14ac:dyDescent="0.4">
      <c r="I16" s="36"/>
    </row>
    <row r="17" spans="1:9" x14ac:dyDescent="0.4">
      <c r="I17" s="36"/>
    </row>
    <row r="18" spans="1:9" x14ac:dyDescent="0.4">
      <c r="A18" s="20" t="s">
        <v>118</v>
      </c>
    </row>
    <row r="19" spans="1:9" s="20" customFormat="1" x14ac:dyDescent="0.4">
      <c r="D19" s="30" t="s">
        <v>313</v>
      </c>
      <c r="I19" s="30" t="s">
        <v>314</v>
      </c>
    </row>
    <row r="20" spans="1:9" s="20" customFormat="1" x14ac:dyDescent="0.4">
      <c r="C20" s="50" t="s">
        <v>147</v>
      </c>
      <c r="D20" s="31">
        <f>SUMIF('Project Status'!H:H,'Shared Building Allocation'!C20,'Project Status'!R:R)</f>
        <v>1595187.5</v>
      </c>
      <c r="I20" s="31">
        <f>SUMIF('Project Status'!H:H,'Shared Building Allocation'!C20,'Project Status'!U:U)</f>
        <v>-26937.96</v>
      </c>
    </row>
    <row r="21" spans="1:9" s="20" customFormat="1" ht="6.45" customHeight="1" x14ac:dyDescent="0.4">
      <c r="D21" s="31"/>
      <c r="I21" s="31"/>
    </row>
    <row r="22" spans="1:9" s="20" customFormat="1" x14ac:dyDescent="0.4">
      <c r="C22" s="33" t="s">
        <v>120</v>
      </c>
      <c r="D22" s="31">
        <f>D20*0.35</f>
        <v>558315.625</v>
      </c>
      <c r="I22" s="31">
        <f>I20*0.35</f>
        <v>-9428.2859999999982</v>
      </c>
    </row>
    <row r="23" spans="1:9" s="20" customFormat="1" x14ac:dyDescent="0.4">
      <c r="C23" s="33" t="s">
        <v>121</v>
      </c>
      <c r="D23" s="31">
        <f>D20*0.65</f>
        <v>1036871.875</v>
      </c>
      <c r="I23" s="31">
        <f>I20*0.65</f>
        <v>-17509.673999999999</v>
      </c>
    </row>
    <row r="24" spans="1:9" s="20" customFormat="1" x14ac:dyDescent="0.4">
      <c r="D24" s="32">
        <f>SUM(D22:D23)</f>
        <v>1595187.5</v>
      </c>
      <c r="I24" s="32">
        <f>SUM(I22:I23)</f>
        <v>-26937.96</v>
      </c>
    </row>
    <row r="25" spans="1:9"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275</v>
      </c>
    </row>
    <row r="2" spans="1:10" x14ac:dyDescent="0.4">
      <c r="B2" s="47" t="s">
        <v>140</v>
      </c>
    </row>
    <row r="3" spans="1:10" x14ac:dyDescent="0.4">
      <c r="B3" t="s">
        <v>142</v>
      </c>
    </row>
    <row r="4" spans="1:10" x14ac:dyDescent="0.4">
      <c r="B4" s="48" t="s">
        <v>141</v>
      </c>
      <c r="C4" s="49">
        <f>Contributions!C14</f>
        <v>9364499</v>
      </c>
    </row>
    <row r="5" spans="1:10" x14ac:dyDescent="0.4">
      <c r="B5" s="53" t="s">
        <v>145</v>
      </c>
      <c r="C5" s="54">
        <f>SUM(C1:C4)</f>
        <v>9364499</v>
      </c>
      <c r="J5" s="22"/>
    </row>
    <row r="8" spans="1:10" x14ac:dyDescent="0.4">
      <c r="B8" t="s">
        <v>143</v>
      </c>
      <c r="F8" s="44"/>
    </row>
    <row r="9" spans="1:10" x14ac:dyDescent="0.4">
      <c r="B9" s="22" t="s">
        <v>134</v>
      </c>
      <c r="C9" s="43">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7"/>
    </row>
    <row r="10" spans="1:10" x14ac:dyDescent="0.4">
      <c r="B10" s="22" t="s">
        <v>166</v>
      </c>
      <c r="C10" s="43">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7"/>
    </row>
    <row r="11" spans="1:10" x14ac:dyDescent="0.4">
      <c r="B11" s="22" t="s">
        <v>175</v>
      </c>
      <c r="C11" s="43">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7"/>
    </row>
    <row r="12" spans="1:10" x14ac:dyDescent="0.4">
      <c r="B12" s="22" t="s">
        <v>215</v>
      </c>
      <c r="C12" s="43">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7"/>
    </row>
    <row r="13" spans="1:10" x14ac:dyDescent="0.4">
      <c r="B13" s="22" t="s">
        <v>226</v>
      </c>
      <c r="C13" s="43">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7"/>
    </row>
    <row r="14" spans="1:10" x14ac:dyDescent="0.4">
      <c r="B14" s="22" t="s">
        <v>232</v>
      </c>
      <c r="C14" s="43">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7"/>
    </row>
    <row r="15" spans="1:10" x14ac:dyDescent="0.4">
      <c r="B15" s="22" t="s">
        <v>239</v>
      </c>
      <c r="C15" s="43">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7"/>
    </row>
    <row r="16" spans="1:10" x14ac:dyDescent="0.4">
      <c r="B16" s="22" t="s">
        <v>253</v>
      </c>
      <c r="C16" s="43">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7"/>
    </row>
    <row r="17" spans="1:8" x14ac:dyDescent="0.4">
      <c r="B17" s="22" t="s">
        <v>271</v>
      </c>
      <c r="C17" s="43">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3"/>
    </row>
    <row r="18" spans="1:8" x14ac:dyDescent="0.4">
      <c r="B18" s="22" t="s">
        <v>278</v>
      </c>
      <c r="C18" s="43">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3"/>
    </row>
    <row r="19" spans="1:8" x14ac:dyDescent="0.4">
      <c r="B19" s="22" t="s">
        <v>284</v>
      </c>
      <c r="C19" s="43">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8" t="s">
        <v>308</v>
      </c>
      <c r="C20" s="4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8"/>
      <c r="B21" s="55" t="s">
        <v>144</v>
      </c>
      <c r="C21" s="56">
        <f>SUM(C9:C20)</f>
        <v>8797286.2599999998</v>
      </c>
      <c r="D21" s="78">
        <f>C21/C5</f>
        <v>0.93942946227021862</v>
      </c>
      <c r="H21" s="78"/>
    </row>
    <row r="24" spans="1:8" x14ac:dyDescent="0.4">
      <c r="A24" s="78"/>
      <c r="B24" s="51" t="s">
        <v>136</v>
      </c>
      <c r="C24" s="52">
        <f>C5-C21</f>
        <v>567212.74000000022</v>
      </c>
      <c r="D24" s="78">
        <f>C24/C5</f>
        <v>6.0570537729781403E-2</v>
      </c>
      <c r="H24" s="7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68"/>
  <sheetViews>
    <sheetView zoomScaleNormal="100" workbookViewId="0"/>
  </sheetViews>
  <sheetFormatPr defaultRowHeight="14.6" x14ac:dyDescent="0.4"/>
  <cols>
    <col min="1" max="1" width="5.69140625" customWidth="1"/>
    <col min="2" max="2" width="23.3046875" bestFit="1" customWidth="1"/>
    <col min="3" max="3" width="15.3046875" style="43"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 bestFit="1" customWidth="1"/>
  </cols>
  <sheetData>
    <row r="1" spans="1:10" x14ac:dyDescent="0.4">
      <c r="A1" s="166" t="s">
        <v>275</v>
      </c>
    </row>
    <row r="2" spans="1:10" x14ac:dyDescent="0.4">
      <c r="B2" s="47" t="s">
        <v>140</v>
      </c>
    </row>
    <row r="3" spans="1:10" x14ac:dyDescent="0.4">
      <c r="B3" t="s">
        <v>142</v>
      </c>
      <c r="E3" s="47" t="s">
        <v>325</v>
      </c>
    </row>
    <row r="4" spans="1:10" x14ac:dyDescent="0.4">
      <c r="B4" s="48" t="s">
        <v>319</v>
      </c>
      <c r="C4" s="49">
        <f>Contributions!G14</f>
        <v>11029283.289999999</v>
      </c>
      <c r="E4" s="22" t="s">
        <v>138</v>
      </c>
      <c r="F4" s="43">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LOG_FY24'!E4,'20792'!$H:$H)+SUMIF('20831'!$E:$E,'JE LOG_FY24'!E4,'20831'!$H:$H)+SUMIF('20832'!$E:$E,'JE LOG_FY24'!E4,'20832'!$H:$H)+SUMIF('20833'!$E:$E,'JE LOG_FY24'!E4,'20833'!$H:$H)+SUMIF('20857'!$E:$E,'JE LOG_FY24'!E4,'20857'!$H:$H)+SUMIF('20911'!$E:$E,'JE LOG_FY24'!E4,'20911'!$H:$H)+SUMIF('20912'!$E:$E,'JE LOG_FY24'!E4,'20912'!$H:$H)+SUMIF('20913'!$E:$E,'JE LOG_FY24'!E4,'20913'!$H:$H)</f>
        <v>0</v>
      </c>
    </row>
    <row r="5" spans="1:10" x14ac:dyDescent="0.4">
      <c r="B5" s="53" t="s">
        <v>145</v>
      </c>
      <c r="C5" s="54">
        <f>SUM(C1:C4)</f>
        <v>11029283.289999999</v>
      </c>
      <c r="J5" s="22"/>
    </row>
    <row r="8" spans="1:10" x14ac:dyDescent="0.4">
      <c r="B8" t="s">
        <v>143</v>
      </c>
      <c r="F8" s="44"/>
    </row>
    <row r="9" spans="1:10" x14ac:dyDescent="0.4">
      <c r="B9" s="22" t="s">
        <v>324</v>
      </c>
      <c r="C9" s="43">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7"/>
    </row>
    <row r="10" spans="1:10" x14ac:dyDescent="0.4">
      <c r="B10" s="22" t="s">
        <v>339</v>
      </c>
      <c r="C10" s="43">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7"/>
    </row>
    <row r="11" spans="1:10" x14ac:dyDescent="0.4">
      <c r="B11" s="22" t="s">
        <v>355</v>
      </c>
      <c r="C11" s="43">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57"/>
    </row>
    <row r="12" spans="1:10" x14ac:dyDescent="0.4">
      <c r="B12" s="22" t="s">
        <v>375</v>
      </c>
      <c r="C12" s="43">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57"/>
    </row>
    <row r="13" spans="1:10" x14ac:dyDescent="0.4">
      <c r="B13" s="22" t="s">
        <v>377</v>
      </c>
      <c r="C13" s="43">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57"/>
    </row>
    <row r="14" spans="1:10" x14ac:dyDescent="0.4">
      <c r="B14" s="22" t="s">
        <v>395</v>
      </c>
      <c r="C14" s="43">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57"/>
    </row>
    <row r="15" spans="1:10" x14ac:dyDescent="0.4">
      <c r="B15" s="22" t="s">
        <v>413</v>
      </c>
      <c r="C15" s="43">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57"/>
    </row>
    <row r="16" spans="1:10" x14ac:dyDescent="0.4">
      <c r="B16" s="22"/>
      <c r="F16" s="157"/>
    </row>
    <row r="17" spans="1:20" x14ac:dyDescent="0.4">
      <c r="B17" s="22"/>
      <c r="F17" s="43"/>
    </row>
    <row r="18" spans="1:20" x14ac:dyDescent="0.4">
      <c r="B18" s="22"/>
      <c r="F18" s="43"/>
    </row>
    <row r="19" spans="1:20" x14ac:dyDescent="0.4">
      <c r="B19" s="22"/>
    </row>
    <row r="20" spans="1:20" x14ac:dyDescent="0.4">
      <c r="B20" s="48"/>
      <c r="C20" s="49"/>
    </row>
    <row r="21" spans="1:20" x14ac:dyDescent="0.4">
      <c r="A21" s="78"/>
      <c r="B21" s="55" t="s">
        <v>144</v>
      </c>
      <c r="C21" s="56">
        <f>SUM(C9:C20)</f>
        <v>8218176.3599999994</v>
      </c>
      <c r="D21" s="78"/>
      <c r="H21" s="78"/>
    </row>
    <row r="23" spans="1:20" x14ac:dyDescent="0.4">
      <c r="B23" s="22" t="s">
        <v>326</v>
      </c>
      <c r="C23" s="43">
        <f>'JE LOG_FY23'!C24</f>
        <v>567212.74000000022</v>
      </c>
    </row>
    <row r="24" spans="1:20" x14ac:dyDescent="0.4">
      <c r="B24" s="22" t="s">
        <v>327</v>
      </c>
      <c r="C24" s="43">
        <f>F4</f>
        <v>0</v>
      </c>
    </row>
    <row r="26" spans="1:20" x14ac:dyDescent="0.4">
      <c r="A26" s="78"/>
      <c r="B26" s="51" t="s">
        <v>136</v>
      </c>
      <c r="C26" s="52">
        <f>C5-C21+C23-C24</f>
        <v>3378319.67</v>
      </c>
      <c r="D26" s="78"/>
      <c r="H26" s="78"/>
      <c r="R26" s="241" t="s">
        <v>363</v>
      </c>
      <c r="S26" s="241" t="s">
        <v>364</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47">
        <f>SUM(R27:R29)</f>
        <v>88254</v>
      </c>
      <c r="S30" s="247">
        <f>SUM(S27:S29)</f>
        <v>42533</v>
      </c>
      <c r="T30" s="248">
        <f>SUM(R30:S30)</f>
        <v>130787</v>
      </c>
    </row>
    <row r="31" spans="1:20" x14ac:dyDescent="0.4">
      <c r="S31" s="249">
        <f>S30-R30</f>
        <v>-45721</v>
      </c>
    </row>
    <row r="33" spans="18:20" x14ac:dyDescent="0.4">
      <c r="R33" s="21"/>
      <c r="S33" s="21"/>
    </row>
    <row r="34" spans="18:20" x14ac:dyDescent="0.4">
      <c r="R34" s="241" t="s">
        <v>363</v>
      </c>
      <c r="S34" s="241" t="s">
        <v>364</v>
      </c>
    </row>
    <row r="35" spans="18:20" x14ac:dyDescent="0.4">
      <c r="R35" s="21">
        <v>1964100</v>
      </c>
      <c r="S35" s="21">
        <v>1964100</v>
      </c>
    </row>
    <row r="36" spans="18:20" x14ac:dyDescent="0.4">
      <c r="R36" s="21">
        <v>1964100</v>
      </c>
      <c r="S36" s="21">
        <v>1964100</v>
      </c>
    </row>
    <row r="37" spans="18:20" x14ac:dyDescent="0.4">
      <c r="R37" s="247">
        <f>SUM(R35:R36)</f>
        <v>3928200</v>
      </c>
      <c r="S37" s="247">
        <f>SUM(S35:S36)</f>
        <v>3928200</v>
      </c>
      <c r="T37" s="248"/>
    </row>
    <row r="38" spans="18:20" x14ac:dyDescent="0.4">
      <c r="S38" s="249">
        <f>S37-R37</f>
        <v>0</v>
      </c>
    </row>
    <row r="41" spans="18:20" x14ac:dyDescent="0.4">
      <c r="R41" s="21"/>
      <c r="S41" s="21"/>
    </row>
    <row r="42" spans="18:20" x14ac:dyDescent="0.4">
      <c r="R42" s="241" t="s">
        <v>363</v>
      </c>
      <c r="S42" s="241" t="s">
        <v>364</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47">
        <f>SUM(R43:R46)</f>
        <v>4400.96</v>
      </c>
      <c r="S47" s="247">
        <f>SUM(S43:S46)</f>
        <v>897720</v>
      </c>
      <c r="T47" s="248">
        <f>SUM(R47:S47)</f>
        <v>902120.95999999996</v>
      </c>
    </row>
    <row r="48" spans="18:20" x14ac:dyDescent="0.4">
      <c r="S48" s="249">
        <f>S47-R47</f>
        <v>893319.04</v>
      </c>
    </row>
    <row r="49" spans="18:20" x14ac:dyDescent="0.4">
      <c r="R49" s="21"/>
      <c r="S49" s="21"/>
    </row>
    <row r="51" spans="18:20" x14ac:dyDescent="0.4">
      <c r="R51" s="241" t="s">
        <v>363</v>
      </c>
      <c r="S51" s="241" t="s">
        <v>364</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47">
        <f>SUM(R52:R56)</f>
        <v>121870.32</v>
      </c>
      <c r="S57" s="247">
        <f>SUM(S52:S56)</f>
        <v>110641</v>
      </c>
      <c r="T57" s="248">
        <f>SUM(R57:S57)</f>
        <v>232511.32</v>
      </c>
    </row>
    <row r="58" spans="18:20" x14ac:dyDescent="0.4">
      <c r="S58" s="249">
        <f>S57-R57</f>
        <v>-11229.320000000007</v>
      </c>
    </row>
    <row r="60" spans="18:20" x14ac:dyDescent="0.4">
      <c r="R60" s="241" t="s">
        <v>363</v>
      </c>
      <c r="S60" s="241" t="s">
        <v>364</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47">
        <f>SUM(R61:R66)</f>
        <v>291044.36</v>
      </c>
      <c r="S67" s="247">
        <f>SUM(S61:S66)</f>
        <v>930038</v>
      </c>
      <c r="T67" s="248">
        <f>SUM(R67:S67)</f>
        <v>1221082.3599999999</v>
      </c>
    </row>
    <row r="68" spans="18:20" x14ac:dyDescent="0.4">
      <c r="S68" s="249">
        <f>S67-R67</f>
        <v>638993.64</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B9" sqref="B9"/>
    </sheetView>
  </sheetViews>
  <sheetFormatPr defaultRowHeight="14.6" x14ac:dyDescent="0.4"/>
  <cols>
    <col min="2" max="2" width="38.15234375" bestFit="1" customWidth="1"/>
    <col min="3" max="3" width="17.152343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row r="11" spans="2:3" x14ac:dyDescent="0.4">
      <c r="B11" t="s">
        <v>25</v>
      </c>
      <c r="C11" t="s">
        <v>200</v>
      </c>
    </row>
  </sheetData>
  <sortState xmlns:xlrd2="http://schemas.microsoft.com/office/spreadsheetml/2017/richdata2" ref="B2:B10">
    <sortCondition ref="B2:B10"/>
  </sortState>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1"/>
  <sheetViews>
    <sheetView zoomScaleNormal="100" workbookViewId="0">
      <pane ySplit="3" topLeftCell="A4" activePane="bottomLeft" state="frozen"/>
      <selection pane="bottomLeft" activeCell="A14" sqref="A14"/>
    </sheetView>
  </sheetViews>
  <sheetFormatPr defaultRowHeight="14.6" x14ac:dyDescent="0.4"/>
  <cols>
    <col min="1" max="1" width="50.61328125" bestFit="1" customWidth="1"/>
    <col min="2" max="2" width="15.69140625" bestFit="1" customWidth="1"/>
    <col min="3" max="3" width="16.23046875" bestFit="1" customWidth="1"/>
    <col min="4" max="4" width="16" bestFit="1" customWidth="1"/>
  </cols>
  <sheetData>
    <row r="1" spans="1:3" s="8" customFormat="1" x14ac:dyDescent="0.4">
      <c r="A1" s="10" t="s">
        <v>204</v>
      </c>
      <c r="B1"/>
      <c r="C1"/>
    </row>
    <row r="3" spans="1:3" x14ac:dyDescent="0.4">
      <c r="A3" s="25" t="s">
        <v>115</v>
      </c>
      <c r="B3" t="s">
        <v>119</v>
      </c>
      <c r="C3" t="s">
        <v>117</v>
      </c>
    </row>
    <row r="4" spans="1:3" x14ac:dyDescent="0.4">
      <c r="A4" s="26" t="s">
        <v>154</v>
      </c>
      <c r="B4" s="27">
        <v>1845389</v>
      </c>
      <c r="C4" s="27">
        <v>1928829</v>
      </c>
    </row>
    <row r="5" spans="1:3" x14ac:dyDescent="0.4">
      <c r="A5" s="22" t="s">
        <v>322</v>
      </c>
      <c r="B5" s="27">
        <v>400000</v>
      </c>
      <c r="C5" s="27">
        <v>483440</v>
      </c>
    </row>
    <row r="6" spans="1:3" x14ac:dyDescent="0.4">
      <c r="A6" s="208" t="s">
        <v>282</v>
      </c>
      <c r="B6" s="27">
        <v>400000</v>
      </c>
      <c r="C6" s="27">
        <v>483440</v>
      </c>
    </row>
    <row r="7" spans="1:3" x14ac:dyDescent="0.4">
      <c r="A7" s="22" t="s">
        <v>299</v>
      </c>
      <c r="B7" s="27">
        <v>1445389</v>
      </c>
      <c r="C7" s="27">
        <v>1445389</v>
      </c>
    </row>
    <row r="8" spans="1:3" x14ac:dyDescent="0.4">
      <c r="A8" s="208" t="s">
        <v>280</v>
      </c>
      <c r="B8" s="27">
        <v>1445389</v>
      </c>
      <c r="C8" s="27">
        <v>1445389</v>
      </c>
    </row>
    <row r="9" spans="1:3" x14ac:dyDescent="0.4">
      <c r="A9" s="22" t="s">
        <v>178</v>
      </c>
      <c r="B9" s="27">
        <v>0</v>
      </c>
      <c r="C9" s="27">
        <v>0</v>
      </c>
    </row>
    <row r="10" spans="1:3" x14ac:dyDescent="0.4">
      <c r="A10" s="208" t="s">
        <v>367</v>
      </c>
      <c r="B10" s="27">
        <v>0</v>
      </c>
      <c r="C10" s="27">
        <v>0</v>
      </c>
    </row>
    <row r="11" spans="1:3" x14ac:dyDescent="0.4">
      <c r="A11" s="26" t="s">
        <v>116</v>
      </c>
      <c r="B11" s="27">
        <v>1845389</v>
      </c>
      <c r="C11" s="27">
        <v>1928829</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30"/>
  <sheetViews>
    <sheetView zoomScaleNormal="100" workbookViewId="0">
      <pane ySplit="3" topLeftCell="A4" activePane="bottomLeft" state="frozen"/>
      <selection pane="bottomLeft" activeCell="A16" sqref="A16"/>
    </sheetView>
  </sheetViews>
  <sheetFormatPr defaultRowHeight="14.6" x14ac:dyDescent="0.4"/>
  <cols>
    <col min="1" max="1" width="30.23046875" bestFit="1" customWidth="1"/>
    <col min="2" max="2" width="11" bestFit="1" customWidth="1"/>
    <col min="3" max="4" width="12.921875" bestFit="1" customWidth="1"/>
    <col min="5" max="5" width="15.69140625" bestFit="1" customWidth="1"/>
    <col min="9" max="10" width="15.69140625" bestFit="1" customWidth="1"/>
  </cols>
  <sheetData>
    <row r="1" spans="1:5" s="8" customFormat="1" x14ac:dyDescent="0.4">
      <c r="A1" s="10" t="s">
        <v>336</v>
      </c>
      <c r="B1"/>
      <c r="C1"/>
    </row>
    <row r="3" spans="1:5" x14ac:dyDescent="0.4">
      <c r="A3" s="25" t="s">
        <v>115</v>
      </c>
      <c r="B3" t="s">
        <v>333</v>
      </c>
      <c r="C3" t="s">
        <v>334</v>
      </c>
      <c r="D3" t="s">
        <v>335</v>
      </c>
      <c r="E3" t="s">
        <v>394</v>
      </c>
    </row>
    <row r="4" spans="1:5" x14ac:dyDescent="0.4">
      <c r="A4" s="26" t="s">
        <v>101</v>
      </c>
      <c r="B4" s="27">
        <v>1956984.2999999998</v>
      </c>
      <c r="C4" s="27">
        <v>93262.5</v>
      </c>
      <c r="D4" s="27">
        <v>6341099</v>
      </c>
      <c r="E4">
        <v>7</v>
      </c>
    </row>
    <row r="5" spans="1:5" x14ac:dyDescent="0.4">
      <c r="A5" s="26" t="s">
        <v>100</v>
      </c>
      <c r="B5" s="27">
        <v>124210</v>
      </c>
      <c r="C5" s="27">
        <v>353000</v>
      </c>
      <c r="D5" s="27">
        <v>24933</v>
      </c>
      <c r="E5">
        <v>3</v>
      </c>
    </row>
    <row r="6" spans="1:5" x14ac:dyDescent="0.4">
      <c r="A6" s="26" t="s">
        <v>322</v>
      </c>
      <c r="B6" s="27">
        <v>3483690.25</v>
      </c>
      <c r="C6" s="27">
        <v>3266827.26</v>
      </c>
      <c r="D6" s="27">
        <v>-160571.28</v>
      </c>
      <c r="E6">
        <v>12</v>
      </c>
    </row>
    <row r="7" spans="1:5" x14ac:dyDescent="0.4">
      <c r="A7" s="26" t="s">
        <v>268</v>
      </c>
      <c r="B7" s="27">
        <v>3295000.23</v>
      </c>
      <c r="C7" s="27">
        <v>3037159</v>
      </c>
      <c r="D7" s="27">
        <v>-291044.36</v>
      </c>
      <c r="E7">
        <v>7</v>
      </c>
    </row>
    <row r="8" spans="1:5" x14ac:dyDescent="0.4">
      <c r="A8" s="26" t="s">
        <v>266</v>
      </c>
      <c r="B8" s="27">
        <v>14407.5</v>
      </c>
      <c r="C8" s="27">
        <v>26500</v>
      </c>
      <c r="D8" s="27">
        <v>0</v>
      </c>
      <c r="E8">
        <v>3</v>
      </c>
    </row>
    <row r="9" spans="1:5" x14ac:dyDescent="0.4">
      <c r="A9" s="26" t="s">
        <v>299</v>
      </c>
      <c r="B9" s="27">
        <v>3501188.13</v>
      </c>
      <c r="C9" s="27">
        <v>1103794.5</v>
      </c>
      <c r="D9" s="27">
        <v>1052900</v>
      </c>
      <c r="E9">
        <v>4</v>
      </c>
    </row>
    <row r="10" spans="1:5" x14ac:dyDescent="0.4">
      <c r="A10" s="26" t="s">
        <v>178</v>
      </c>
      <c r="B10" s="27">
        <v>226097.52</v>
      </c>
      <c r="C10" s="27">
        <v>194650</v>
      </c>
      <c r="D10" s="27">
        <v>1250860</v>
      </c>
      <c r="E10">
        <v>10</v>
      </c>
    </row>
    <row r="11" spans="1:5" x14ac:dyDescent="0.4">
      <c r="A11" s="26" t="s">
        <v>224</v>
      </c>
      <c r="B11" s="27">
        <v>199591.21</v>
      </c>
      <c r="C11" s="27">
        <v>722093</v>
      </c>
      <c r="D11" s="27">
        <v>0</v>
      </c>
      <c r="E11">
        <v>2</v>
      </c>
    </row>
    <row r="12" spans="1:5" x14ac:dyDescent="0.4">
      <c r="A12" s="26" t="s">
        <v>400</v>
      </c>
      <c r="B12" s="27">
        <v>0</v>
      </c>
      <c r="C12" s="27">
        <v>0</v>
      </c>
      <c r="D12" s="27">
        <v>0</v>
      </c>
      <c r="E12">
        <v>3</v>
      </c>
    </row>
    <row r="13" spans="1:5" x14ac:dyDescent="0.4">
      <c r="A13" s="26" t="s">
        <v>116</v>
      </c>
      <c r="B13" s="27">
        <v>12801169.140000001</v>
      </c>
      <c r="C13" s="27">
        <v>8797286.2599999998</v>
      </c>
      <c r="D13" s="27">
        <v>8218176.3599999994</v>
      </c>
      <c r="E13">
        <v>51</v>
      </c>
    </row>
    <row r="30" spans="6:6" x14ac:dyDescent="0.4">
      <c r="F30" s="27"/>
    </row>
  </sheetData>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101"/>
  <sheetViews>
    <sheetView tabSelected="1" zoomScale="90" zoomScaleNormal="90" workbookViewId="0">
      <pane ySplit="3" topLeftCell="A42" activePane="bottomLeft" state="frozen"/>
      <selection pane="bottomLeft" activeCell="A56" sqref="A56"/>
    </sheetView>
  </sheetViews>
  <sheetFormatPr defaultColWidth="9.15234375" defaultRowHeight="14.6" outlineLevelRow="1" outlineLevelCol="1" x14ac:dyDescent="0.4"/>
  <cols>
    <col min="1" max="1" width="4.53515625" style="86" customWidth="1"/>
    <col min="2" max="2" width="11.69140625" style="86" hidden="1" customWidth="1" outlineLevel="1"/>
    <col min="3" max="3" width="8.53515625" style="86" customWidth="1" collapsed="1"/>
    <col min="4" max="4" width="6.3046875" style="86" hidden="1" customWidth="1" outlineLevel="1"/>
    <col min="5" max="5" width="10.3046875" style="86" hidden="1" customWidth="1" outlineLevel="1"/>
    <col min="6" max="6" width="37.53515625" style="86" hidden="1" customWidth="1" outlineLevel="1"/>
    <col min="7" max="7" width="17.3828125" style="86" hidden="1" customWidth="1" outlineLevel="1"/>
    <col min="8" max="8" width="28" style="86" hidden="1" customWidth="1" outlineLevel="1"/>
    <col min="9" max="9" width="59.15234375" style="86" bestFit="1" customWidth="1" collapsed="1"/>
    <col min="10" max="10" width="32.15234375" style="86" bestFit="1" customWidth="1"/>
    <col min="11" max="11" width="21.84375" style="86" bestFit="1" customWidth="1"/>
    <col min="12" max="12" width="15" style="112" customWidth="1"/>
    <col min="13" max="16" width="15" style="112" hidden="1" customWidth="1" outlineLevel="1"/>
    <col min="17" max="17" width="15" style="112" customWidth="1" collapsed="1"/>
    <col min="18" max="23" width="15" style="112" customWidth="1"/>
    <col min="24" max="24" width="116.53515625" style="86" customWidth="1"/>
    <col min="25" max="25" width="9.15234375" style="245"/>
    <col min="26" max="16384" width="9.15234375" style="86"/>
  </cols>
  <sheetData>
    <row r="1" spans="1:25" x14ac:dyDescent="0.4">
      <c r="A1" s="84" t="s">
        <v>192</v>
      </c>
      <c r="R1" s="167" t="s">
        <v>276</v>
      </c>
      <c r="U1" s="204" t="s">
        <v>318</v>
      </c>
    </row>
    <row r="2" spans="1:25" x14ac:dyDescent="0.4">
      <c r="A2" s="87"/>
      <c r="E2" s="88"/>
      <c r="F2" s="89"/>
      <c r="G2" s="89"/>
    </row>
    <row r="3" spans="1:25" s="85" customFormat="1" ht="29.15" x14ac:dyDescent="0.4">
      <c r="A3" s="9"/>
      <c r="B3" s="9" t="s">
        <v>229</v>
      </c>
      <c r="C3" s="9" t="s">
        <v>125</v>
      </c>
      <c r="D3" s="9" t="s">
        <v>126</v>
      </c>
      <c r="E3" s="9" t="s">
        <v>127</v>
      </c>
      <c r="F3" s="90" t="s">
        <v>86</v>
      </c>
      <c r="G3" s="90" t="s">
        <v>203</v>
      </c>
      <c r="H3" s="90" t="s">
        <v>114</v>
      </c>
      <c r="I3" s="90" t="s">
        <v>87</v>
      </c>
      <c r="J3" s="9" t="s">
        <v>128</v>
      </c>
      <c r="K3" s="9" t="s">
        <v>129</v>
      </c>
      <c r="L3" s="113" t="s">
        <v>133</v>
      </c>
      <c r="M3" s="114" t="s">
        <v>130</v>
      </c>
      <c r="N3" s="114" t="s">
        <v>131</v>
      </c>
      <c r="O3" s="114" t="s">
        <v>132</v>
      </c>
      <c r="P3" s="114" t="s">
        <v>223</v>
      </c>
      <c r="Q3" s="113" t="s">
        <v>389</v>
      </c>
      <c r="R3" s="115" t="s">
        <v>243</v>
      </c>
      <c r="S3" s="123" t="s">
        <v>311</v>
      </c>
      <c r="T3" s="123" t="s">
        <v>245</v>
      </c>
      <c r="U3" s="199" t="s">
        <v>310</v>
      </c>
      <c r="V3" s="168" t="s">
        <v>277</v>
      </c>
      <c r="W3" s="220" t="s">
        <v>350</v>
      </c>
      <c r="X3" s="9" t="s">
        <v>183</v>
      </c>
      <c r="Y3" s="219" t="s">
        <v>349</v>
      </c>
    </row>
    <row r="4" spans="1:25" s="237" customFormat="1" hidden="1" outlineLevel="1" x14ac:dyDescent="0.4">
      <c r="A4" s="225">
        <v>1</v>
      </c>
      <c r="B4" s="226" t="s">
        <v>90</v>
      </c>
      <c r="C4" s="227">
        <v>10085</v>
      </c>
      <c r="D4" s="226">
        <v>4591</v>
      </c>
      <c r="E4" s="226"/>
      <c r="F4" s="226" t="s">
        <v>28</v>
      </c>
      <c r="G4" s="228" t="str">
        <f>VLOOKUP(F4,lookup!B:C,2,FALSE)</f>
        <v>Peabody</v>
      </c>
      <c r="H4" s="226" t="s">
        <v>353</v>
      </c>
      <c r="I4" s="226" t="s">
        <v>108</v>
      </c>
      <c r="J4" s="226" t="s">
        <v>322</v>
      </c>
      <c r="K4" s="226" t="s">
        <v>156</v>
      </c>
      <c r="L4" s="229">
        <v>17500</v>
      </c>
      <c r="M4" s="230">
        <v>22000</v>
      </c>
      <c r="N4" s="230">
        <v>17500</v>
      </c>
      <c r="O4" s="230">
        <v>17500</v>
      </c>
      <c r="P4" s="230">
        <v>17500</v>
      </c>
      <c r="Q4" s="229">
        <v>0</v>
      </c>
      <c r="R4" s="231">
        <f>'10085'!H18</f>
        <v>17500</v>
      </c>
      <c r="S4" s="232">
        <v>0</v>
      </c>
      <c r="T4" s="232">
        <v>0</v>
      </c>
      <c r="U4" s="233">
        <f>SUM(S4:T4)</f>
        <v>0</v>
      </c>
      <c r="V4" s="234">
        <v>0</v>
      </c>
      <c r="W4" s="235">
        <v>0</v>
      </c>
      <c r="X4" s="236" t="s">
        <v>269</v>
      </c>
      <c r="Y4" s="246">
        <f>VLOOKUP(C4,'Summary_by FY'!$C$1:$C$1009,1,FALSE)</f>
        <v>10085</v>
      </c>
    </row>
    <row r="5" spans="1:25" s="237" customFormat="1" hidden="1" outlineLevel="1" x14ac:dyDescent="0.4">
      <c r="A5" s="225">
        <f>A4+1</f>
        <v>2</v>
      </c>
      <c r="B5" s="226" t="s">
        <v>89</v>
      </c>
      <c r="C5" s="227">
        <v>10098</v>
      </c>
      <c r="D5" s="226">
        <v>1627</v>
      </c>
      <c r="E5" s="226" t="s">
        <v>110</v>
      </c>
      <c r="F5" s="226" t="s">
        <v>21</v>
      </c>
      <c r="G5" s="228" t="str">
        <f>VLOOKUP(F5,lookup!B:C,2,FALSE)</f>
        <v>SOM Basic Sciences</v>
      </c>
      <c r="H5" s="226" t="s">
        <v>147</v>
      </c>
      <c r="I5" s="226" t="s">
        <v>298</v>
      </c>
      <c r="J5" s="226" t="s">
        <v>322</v>
      </c>
      <c r="K5" s="226" t="s">
        <v>151</v>
      </c>
      <c r="L5" s="229">
        <v>1216485.5</v>
      </c>
      <c r="M5" s="230">
        <v>1216485.5</v>
      </c>
      <c r="N5" s="230">
        <v>1212084.54</v>
      </c>
      <c r="O5" s="230">
        <v>1212084.54</v>
      </c>
      <c r="P5" s="230">
        <v>1212084.54</v>
      </c>
      <c r="Q5" s="229">
        <v>0</v>
      </c>
      <c r="R5" s="231">
        <f>'10098'!H9</f>
        <v>1216485.5</v>
      </c>
      <c r="S5" s="232">
        <f>'10098'!H10</f>
        <v>-4400.96</v>
      </c>
      <c r="T5" s="232">
        <v>0</v>
      </c>
      <c r="U5" s="233">
        <f t="shared" ref="U5" si="0">SUM(S5:T5)</f>
        <v>-4400.96</v>
      </c>
      <c r="V5" s="234">
        <v>0</v>
      </c>
      <c r="W5" s="235">
        <v>0</v>
      </c>
      <c r="X5" s="236" t="s">
        <v>332</v>
      </c>
      <c r="Y5" s="246">
        <f>VLOOKUP(C5,'Summary_by FY'!$C$1:$C$1009,1,FALSE)</f>
        <v>10098</v>
      </c>
    </row>
    <row r="6" spans="1:25" s="100" customFormat="1" collapsed="1" x14ac:dyDescent="0.4">
      <c r="A6" s="103">
        <f t="shared" ref="A6:A54" si="1">A5+1</f>
        <v>3</v>
      </c>
      <c r="B6" s="101" t="s">
        <v>89</v>
      </c>
      <c r="C6" s="205">
        <v>10146</v>
      </c>
      <c r="D6" s="101">
        <v>4418</v>
      </c>
      <c r="E6" s="101" t="s">
        <v>176</v>
      </c>
      <c r="F6" s="101" t="s">
        <v>177</v>
      </c>
      <c r="G6" s="102" t="str">
        <f>VLOOKUP(F6,lookup!B:C,2,FALSE)</f>
        <v>Nursing</v>
      </c>
      <c r="H6" s="101" t="s">
        <v>357</v>
      </c>
      <c r="I6" s="101" t="s">
        <v>279</v>
      </c>
      <c r="J6" s="101" t="s">
        <v>178</v>
      </c>
      <c r="K6" s="101" t="s">
        <v>156</v>
      </c>
      <c r="L6" s="116">
        <v>318000</v>
      </c>
      <c r="M6" s="117">
        <v>318057</v>
      </c>
      <c r="N6" s="117">
        <v>228355.7</v>
      </c>
      <c r="O6" s="117">
        <v>228355.7</v>
      </c>
      <c r="P6" s="117">
        <v>64975</v>
      </c>
      <c r="Q6" s="116"/>
      <c r="R6" s="118">
        <f>'10146'!H9</f>
        <v>4900</v>
      </c>
      <c r="S6" s="124">
        <f>'10146'!H15</f>
        <v>255957</v>
      </c>
      <c r="T6" s="124">
        <v>0</v>
      </c>
      <c r="U6" s="200">
        <f>SUM(S6:T6)</f>
        <v>255957</v>
      </c>
      <c r="V6" s="169">
        <v>0</v>
      </c>
      <c r="W6" s="221">
        <v>0</v>
      </c>
      <c r="X6" t="s">
        <v>419</v>
      </c>
      <c r="Y6" s="245">
        <f>VLOOKUP(C6,'Summary_by FY'!$C$1:$C$1009,1,FALSE)</f>
        <v>10146</v>
      </c>
    </row>
    <row r="7" spans="1:25" s="100" customFormat="1" x14ac:dyDescent="0.4">
      <c r="A7" s="103">
        <f t="shared" si="1"/>
        <v>4</v>
      </c>
      <c r="B7" s="101" t="s">
        <v>89</v>
      </c>
      <c r="C7" s="205">
        <v>20179</v>
      </c>
      <c r="D7" s="101">
        <v>36015</v>
      </c>
      <c r="E7" s="101" t="s">
        <v>104</v>
      </c>
      <c r="F7" s="101" t="s">
        <v>154</v>
      </c>
      <c r="G7" s="102" t="str">
        <f>VLOOKUP(F7,lookup!B:C,2,FALSE)</f>
        <v>Law</v>
      </c>
      <c r="H7" s="101" t="s">
        <v>281</v>
      </c>
      <c r="I7" s="101" t="s">
        <v>280</v>
      </c>
      <c r="J7" s="101" t="s">
        <v>299</v>
      </c>
      <c r="K7" s="101" t="s">
        <v>155</v>
      </c>
      <c r="L7" s="116">
        <v>1445389</v>
      </c>
      <c r="M7" s="117">
        <v>1445389</v>
      </c>
      <c r="N7" s="117">
        <v>1352423.14</v>
      </c>
      <c r="O7" s="117">
        <v>1352423.14</v>
      </c>
      <c r="P7" s="117">
        <v>1352423.14</v>
      </c>
      <c r="Q7" s="209">
        <v>92965.86</v>
      </c>
      <c r="R7" s="118">
        <f>'20179'!H9</f>
        <v>722694.5</v>
      </c>
      <c r="S7" s="124">
        <v>0</v>
      </c>
      <c r="T7" s="124">
        <v>0</v>
      </c>
      <c r="U7" s="200">
        <f t="shared" ref="U7:U54" si="2">SUM(S7:T7)</f>
        <v>0</v>
      </c>
      <c r="V7" s="169">
        <v>0</v>
      </c>
      <c r="W7" s="221">
        <v>0</v>
      </c>
      <c r="X7" t="s">
        <v>420</v>
      </c>
      <c r="Y7" s="245">
        <f>VLOOKUP(C7,'Summary_by FY'!$C$1:$C$1009,1,FALSE)</f>
        <v>20179</v>
      </c>
    </row>
    <row r="8" spans="1:25" s="237" customFormat="1" hidden="1" outlineLevel="1" x14ac:dyDescent="0.4">
      <c r="A8" s="225">
        <f t="shared" si="1"/>
        <v>5</v>
      </c>
      <c r="B8" s="226" t="s">
        <v>89</v>
      </c>
      <c r="C8" s="227">
        <v>20336</v>
      </c>
      <c r="D8" s="226">
        <v>20075</v>
      </c>
      <c r="E8" s="226" t="s">
        <v>102</v>
      </c>
      <c r="F8" s="226" t="s">
        <v>12</v>
      </c>
      <c r="G8" s="228" t="str">
        <f>VLOOKUP(F8,lookup!B:C,2,FALSE)</f>
        <v>Blair</v>
      </c>
      <c r="H8" s="226" t="s">
        <v>150</v>
      </c>
      <c r="I8" s="226" t="s">
        <v>187</v>
      </c>
      <c r="J8" s="226" t="s">
        <v>268</v>
      </c>
      <c r="K8" s="226" t="s">
        <v>149</v>
      </c>
      <c r="L8" s="229">
        <v>327890</v>
      </c>
      <c r="M8" s="230">
        <v>327890</v>
      </c>
      <c r="N8" s="230">
        <v>280600</v>
      </c>
      <c r="O8" s="230">
        <v>280600</v>
      </c>
      <c r="P8" s="230">
        <v>280600</v>
      </c>
      <c r="Q8" s="229"/>
      <c r="R8" s="231">
        <f>'20336'!H9+'20336'!H10+'20336'!H11</f>
        <v>327890</v>
      </c>
      <c r="S8" s="232">
        <f>'20336'!H12</f>
        <v>-47290</v>
      </c>
      <c r="T8" s="232">
        <v>0</v>
      </c>
      <c r="U8" s="233">
        <f t="shared" si="2"/>
        <v>-47290</v>
      </c>
      <c r="V8" s="234">
        <v>0</v>
      </c>
      <c r="W8" s="235">
        <v>0</v>
      </c>
      <c r="X8" s="236" t="s">
        <v>382</v>
      </c>
      <c r="Y8" s="246">
        <f>VLOOKUP(C8,'Summary_by FY'!$C$1:$C$1009,1,FALSE)</f>
        <v>20336</v>
      </c>
    </row>
    <row r="9" spans="1:25" s="100" customFormat="1" collapsed="1" x14ac:dyDescent="0.4">
      <c r="A9" s="103">
        <f t="shared" si="1"/>
        <v>6</v>
      </c>
      <c r="B9" s="101" t="s">
        <v>89</v>
      </c>
      <c r="C9" s="205">
        <v>20431</v>
      </c>
      <c r="D9" s="101">
        <v>8084</v>
      </c>
      <c r="E9" s="101" t="s">
        <v>103</v>
      </c>
      <c r="F9" s="101" t="s">
        <v>14</v>
      </c>
      <c r="G9" s="102" t="str">
        <f>VLOOKUP(F9,lookup!B:C,2,FALSE)</f>
        <v>Divinity</v>
      </c>
      <c r="H9" s="101" t="s">
        <v>152</v>
      </c>
      <c r="I9" s="101" t="s">
        <v>358</v>
      </c>
      <c r="J9" s="101" t="s">
        <v>101</v>
      </c>
      <c r="K9" s="101" t="s">
        <v>151</v>
      </c>
      <c r="L9" s="116">
        <v>3800000</v>
      </c>
      <c r="M9" s="117">
        <v>3800000</v>
      </c>
      <c r="N9" s="117">
        <v>3540067.72</v>
      </c>
      <c r="O9" s="117">
        <v>3544817.72</v>
      </c>
      <c r="P9" s="117">
        <v>1653351.9</v>
      </c>
      <c r="Q9" s="116"/>
      <c r="R9" s="118">
        <f>'20431'!H10+'20431'!H11+'20431'!H13</f>
        <v>69862.5</v>
      </c>
      <c r="S9" s="124">
        <f>'20431'!H15</f>
        <v>3660360</v>
      </c>
      <c r="T9" s="124">
        <v>0</v>
      </c>
      <c r="U9" s="200">
        <f t="shared" si="2"/>
        <v>3660360</v>
      </c>
      <c r="V9" s="169">
        <v>0</v>
      </c>
      <c r="W9" s="221">
        <v>0</v>
      </c>
      <c r="X9" t="s">
        <v>421</v>
      </c>
      <c r="Y9" s="245">
        <f>VLOOKUP(C9,'Summary_by FY'!$C$1:$C$1009,1,FALSE)</f>
        <v>20431</v>
      </c>
    </row>
    <row r="10" spans="1:25" s="100" customFormat="1" x14ac:dyDescent="0.4">
      <c r="A10" s="103">
        <f t="shared" si="1"/>
        <v>7</v>
      </c>
      <c r="B10" s="101" t="s">
        <v>89</v>
      </c>
      <c r="C10" s="205">
        <v>20478</v>
      </c>
      <c r="D10" s="101">
        <v>8672</v>
      </c>
      <c r="E10" s="101" t="s">
        <v>234</v>
      </c>
      <c r="F10" s="101" t="s">
        <v>10</v>
      </c>
      <c r="G10" s="102" t="str">
        <f>VLOOKUP(F10,lookup!B:C,2,FALSE)</f>
        <v>Arts &amp; Science</v>
      </c>
      <c r="H10" s="101" t="s">
        <v>244</v>
      </c>
      <c r="I10" s="101" t="s">
        <v>235</v>
      </c>
      <c r="J10" s="101" t="s">
        <v>299</v>
      </c>
      <c r="K10" s="101" t="s">
        <v>236</v>
      </c>
      <c r="L10" s="116">
        <v>2790000</v>
      </c>
      <c r="M10" s="117">
        <v>2790000</v>
      </c>
      <c r="N10" s="117">
        <v>2467989.41</v>
      </c>
      <c r="O10" s="117">
        <v>2467989.41</v>
      </c>
      <c r="P10" s="117">
        <v>1864414.99</v>
      </c>
      <c r="Q10" s="209" t="s">
        <v>216</v>
      </c>
      <c r="R10" s="118">
        <f>'20478'!H9+'20478'!H11</f>
        <v>81100</v>
      </c>
      <c r="S10" s="124">
        <f>'20478'!H13</f>
        <v>1028900</v>
      </c>
      <c r="T10" s="124">
        <v>0</v>
      </c>
      <c r="U10" s="200">
        <f t="shared" si="2"/>
        <v>1028900</v>
      </c>
      <c r="V10" s="169">
        <v>0</v>
      </c>
      <c r="W10" s="221">
        <v>0</v>
      </c>
      <c r="X10" t="s">
        <v>422</v>
      </c>
      <c r="Y10" s="245">
        <f>VLOOKUP(C10,'Summary_by FY'!$C$1:$C$1009,1,FALSE)</f>
        <v>20478</v>
      </c>
    </row>
    <row r="11" spans="1:25" s="100" customFormat="1" x14ac:dyDescent="0.4">
      <c r="A11" s="103">
        <f t="shared" si="1"/>
        <v>8</v>
      </c>
      <c r="B11" s="101" t="s">
        <v>89</v>
      </c>
      <c r="C11" s="205">
        <v>20489</v>
      </c>
      <c r="D11" s="101">
        <v>8051</v>
      </c>
      <c r="E11" s="101" t="s">
        <v>237</v>
      </c>
      <c r="F11" s="101" t="s">
        <v>14</v>
      </c>
      <c r="G11" s="102" t="str">
        <f>VLOOKUP(F11,lookup!B:C,2,FALSE)</f>
        <v>Divinity</v>
      </c>
      <c r="H11" s="101" t="s">
        <v>152</v>
      </c>
      <c r="I11" s="101" t="s">
        <v>445</v>
      </c>
      <c r="J11" s="101" t="s">
        <v>266</v>
      </c>
      <c r="K11" s="101" t="s">
        <v>151</v>
      </c>
      <c r="L11" s="116">
        <v>4650000</v>
      </c>
      <c r="M11" s="117">
        <v>26500</v>
      </c>
      <c r="N11" s="117">
        <v>15895</v>
      </c>
      <c r="O11" s="117">
        <v>15895</v>
      </c>
      <c r="P11" s="117">
        <v>14407.5</v>
      </c>
      <c r="Q11" s="116"/>
      <c r="R11" s="118">
        <f>'20489'!H9</f>
        <v>26500</v>
      </c>
      <c r="S11" s="124">
        <v>0</v>
      </c>
      <c r="T11" s="124">
        <v>0</v>
      </c>
      <c r="U11" s="200">
        <f t="shared" si="2"/>
        <v>0</v>
      </c>
      <c r="V11" s="169">
        <v>0</v>
      </c>
      <c r="W11" s="221">
        <f>4700000-1530000</f>
        <v>3170000</v>
      </c>
      <c r="X11" t="s">
        <v>362</v>
      </c>
      <c r="Y11" s="245">
        <f>VLOOKUP(C11,'Summary_by FY'!$C$1:$C$1009,1,FALSE)</f>
        <v>20489</v>
      </c>
    </row>
    <row r="12" spans="1:25" s="237" customFormat="1" hidden="1" outlineLevel="1" x14ac:dyDescent="0.4">
      <c r="A12" s="225">
        <f t="shared" si="1"/>
        <v>9</v>
      </c>
      <c r="B12" s="226" t="s">
        <v>89</v>
      </c>
      <c r="C12" s="227">
        <v>20497</v>
      </c>
      <c r="D12" s="226">
        <v>529</v>
      </c>
      <c r="E12" s="226" t="s">
        <v>106</v>
      </c>
      <c r="F12" s="226" t="s">
        <v>28</v>
      </c>
      <c r="G12" s="228" t="str">
        <f>VLOOKUP(F12,lookup!B:C,2,FALSE)</f>
        <v>Peabody</v>
      </c>
      <c r="H12" s="226" t="s">
        <v>153</v>
      </c>
      <c r="I12" s="226" t="s">
        <v>105</v>
      </c>
      <c r="J12" s="226" t="s">
        <v>322</v>
      </c>
      <c r="K12" s="226" t="s">
        <v>149</v>
      </c>
      <c r="L12" s="229">
        <v>456850</v>
      </c>
      <c r="M12" s="230">
        <v>456850</v>
      </c>
      <c r="N12" s="230">
        <v>412000</v>
      </c>
      <c r="O12" s="230">
        <v>412000</v>
      </c>
      <c r="P12" s="230">
        <v>412000</v>
      </c>
      <c r="Q12" s="229"/>
      <c r="R12" s="231">
        <f>'20497'!H9</f>
        <v>79415.5</v>
      </c>
      <c r="S12" s="232">
        <f>'20497'!H11</f>
        <v>-44850</v>
      </c>
      <c r="T12" s="232">
        <v>0</v>
      </c>
      <c r="U12" s="200">
        <f t="shared" si="2"/>
        <v>-44850</v>
      </c>
      <c r="V12" s="234">
        <v>0</v>
      </c>
      <c r="W12" s="235">
        <v>0</v>
      </c>
      <c r="X12" s="236" t="s">
        <v>342</v>
      </c>
      <c r="Y12" s="246">
        <f>VLOOKUP(C12,'Summary_by FY'!$C$1:$C$1009,1,FALSE)</f>
        <v>20497</v>
      </c>
    </row>
    <row r="13" spans="1:25" s="237" customFormat="1" hidden="1" outlineLevel="1" x14ac:dyDescent="0.4">
      <c r="A13" s="225">
        <f t="shared" si="1"/>
        <v>10</v>
      </c>
      <c r="B13" s="226" t="s">
        <v>89</v>
      </c>
      <c r="C13" s="227">
        <v>20506</v>
      </c>
      <c r="D13" s="226">
        <v>1170</v>
      </c>
      <c r="E13" s="226" t="s">
        <v>259</v>
      </c>
      <c r="F13" s="226" t="s">
        <v>28</v>
      </c>
      <c r="G13" s="228" t="str">
        <f>VLOOKUP(F13,lookup!B:C,2,FALSE)</f>
        <v>Peabody</v>
      </c>
      <c r="H13" s="226" t="s">
        <v>160</v>
      </c>
      <c r="I13" s="226" t="s">
        <v>241</v>
      </c>
      <c r="J13" s="226" t="s">
        <v>322</v>
      </c>
      <c r="K13" s="226" t="s">
        <v>149</v>
      </c>
      <c r="L13" s="229">
        <v>344155.26</v>
      </c>
      <c r="M13" s="230">
        <v>344155.26</v>
      </c>
      <c r="N13" s="230">
        <v>307776.26</v>
      </c>
      <c r="O13" s="230">
        <v>307776.26</v>
      </c>
      <c r="P13" s="230">
        <v>307776.26</v>
      </c>
      <c r="Q13" s="229"/>
      <c r="R13" s="231">
        <f>'20506'!H9</f>
        <v>344155.26</v>
      </c>
      <c r="S13" s="232">
        <f>'20506'!H10</f>
        <v>-36379</v>
      </c>
      <c r="T13" s="232">
        <v>0</v>
      </c>
      <c r="U13" s="200">
        <f t="shared" si="2"/>
        <v>-36379</v>
      </c>
      <c r="V13" s="234">
        <v>0</v>
      </c>
      <c r="W13" s="235">
        <v>0</v>
      </c>
      <c r="X13" s="236" t="s">
        <v>342</v>
      </c>
      <c r="Y13" s="246">
        <f>VLOOKUP(C13,'Summary_by FY'!$C$1:$C$1009,1,FALSE)</f>
        <v>20506</v>
      </c>
    </row>
    <row r="14" spans="1:25" s="237" customFormat="1" hidden="1" outlineLevel="1" x14ac:dyDescent="0.4">
      <c r="A14" s="225">
        <f t="shared" si="1"/>
        <v>11</v>
      </c>
      <c r="B14" s="226" t="s">
        <v>89</v>
      </c>
      <c r="C14" s="227">
        <v>20562</v>
      </c>
      <c r="D14" s="226">
        <v>4564</v>
      </c>
      <c r="E14" s="226" t="s">
        <v>228</v>
      </c>
      <c r="F14" s="226" t="s">
        <v>28</v>
      </c>
      <c r="G14" s="228" t="str">
        <f>VLOOKUP(F14,lookup!B:C,2,FALSE)</f>
        <v>Peabody</v>
      </c>
      <c r="H14" s="226" t="s">
        <v>160</v>
      </c>
      <c r="I14" s="226" t="s">
        <v>107</v>
      </c>
      <c r="J14" s="226" t="s">
        <v>268</v>
      </c>
      <c r="K14" s="226" t="s">
        <v>156</v>
      </c>
      <c r="L14" s="229">
        <v>400000</v>
      </c>
      <c r="M14" s="230">
        <v>405791</v>
      </c>
      <c r="N14" s="230">
        <v>362559.64</v>
      </c>
      <c r="O14" s="230">
        <v>362559.64</v>
      </c>
      <c r="P14" s="230">
        <v>362559.64</v>
      </c>
      <c r="Q14" s="229"/>
      <c r="R14" s="231">
        <f>'20562'!H9</f>
        <v>405791</v>
      </c>
      <c r="S14" s="232">
        <f>'20562'!H10</f>
        <v>-43231.360000000001</v>
      </c>
      <c r="T14" s="232">
        <v>0</v>
      </c>
      <c r="U14" s="233">
        <f t="shared" si="2"/>
        <v>-43231.360000000001</v>
      </c>
      <c r="V14" s="234">
        <v>0</v>
      </c>
      <c r="W14" s="235">
        <v>0</v>
      </c>
      <c r="X14" s="236" t="s">
        <v>383</v>
      </c>
      <c r="Y14" s="246">
        <f>VLOOKUP(C14,'Summary_by FY'!$C$1:$C$1009,1,FALSE)</f>
        <v>20562</v>
      </c>
    </row>
    <row r="15" spans="1:25" s="100" customFormat="1" collapsed="1" x14ac:dyDescent="0.4">
      <c r="A15" s="103">
        <f t="shared" si="1"/>
        <v>12</v>
      </c>
      <c r="B15" s="101" t="s">
        <v>216</v>
      </c>
      <c r="C15" s="101">
        <v>20563</v>
      </c>
      <c r="D15" s="101">
        <v>4624</v>
      </c>
      <c r="E15" s="101"/>
      <c r="F15" s="101" t="s">
        <v>15</v>
      </c>
      <c r="G15" s="102" t="str">
        <f>VLOOKUP(F15,lookup!B:C,2,FALSE)</f>
        <v>Engineering</v>
      </c>
      <c r="H15" s="101" t="s">
        <v>161</v>
      </c>
      <c r="I15" s="101" t="s">
        <v>273</v>
      </c>
      <c r="J15" s="101" t="s">
        <v>266</v>
      </c>
      <c r="K15" s="101" t="s">
        <v>149</v>
      </c>
      <c r="L15" s="116">
        <v>386000</v>
      </c>
      <c r="M15" s="117">
        <v>0</v>
      </c>
      <c r="N15" s="117">
        <v>0</v>
      </c>
      <c r="O15" s="117">
        <v>0</v>
      </c>
      <c r="P15" s="117">
        <v>0</v>
      </c>
      <c r="Q15" s="116"/>
      <c r="R15" s="118">
        <v>0</v>
      </c>
      <c r="S15" s="124">
        <v>0</v>
      </c>
      <c r="T15" s="124">
        <v>0</v>
      </c>
      <c r="U15" s="200">
        <f t="shared" si="2"/>
        <v>0</v>
      </c>
      <c r="V15" s="169">
        <v>0</v>
      </c>
      <c r="W15" s="221" t="s">
        <v>216</v>
      </c>
      <c r="X15" t="s">
        <v>274</v>
      </c>
      <c r="Y15" s="245">
        <f>VLOOKUP(C15,'Summary_by FY'!$C$1:$C$1009,1,FALSE)</f>
        <v>20563</v>
      </c>
    </row>
    <row r="16" spans="1:25" s="237" customFormat="1" hidden="1" outlineLevel="1" x14ac:dyDescent="0.4">
      <c r="A16" s="225">
        <f t="shared" si="1"/>
        <v>13</v>
      </c>
      <c r="B16" s="226" t="s">
        <v>89</v>
      </c>
      <c r="C16" s="227">
        <v>20566</v>
      </c>
      <c r="D16" s="226">
        <v>20054</v>
      </c>
      <c r="E16" s="226" t="s">
        <v>158</v>
      </c>
      <c r="F16" s="226" t="s">
        <v>10</v>
      </c>
      <c r="G16" s="228" t="str">
        <f>VLOOKUP(F16,lookup!B:C,2,FALSE)</f>
        <v>Arts &amp; Science</v>
      </c>
      <c r="H16" s="226" t="s">
        <v>159</v>
      </c>
      <c r="I16" s="226" t="s">
        <v>184</v>
      </c>
      <c r="J16" s="226" t="s">
        <v>322</v>
      </c>
      <c r="K16" s="226" t="s">
        <v>149</v>
      </c>
      <c r="L16" s="229">
        <v>781870</v>
      </c>
      <c r="M16" s="230">
        <v>781870</v>
      </c>
      <c r="N16" s="230">
        <v>722586.68</v>
      </c>
      <c r="O16" s="230">
        <v>722586.68</v>
      </c>
      <c r="P16" s="230">
        <v>722586.68</v>
      </c>
      <c r="Q16" s="229"/>
      <c r="R16" s="231">
        <f>'20566'!H9+'20566'!H10</f>
        <v>781870</v>
      </c>
      <c r="S16" s="232">
        <f>'20566'!H11</f>
        <v>-59283.32</v>
      </c>
      <c r="T16" s="232">
        <v>0</v>
      </c>
      <c r="U16" s="233">
        <f t="shared" si="2"/>
        <v>-59283.32</v>
      </c>
      <c r="V16" s="234">
        <v>0</v>
      </c>
      <c r="W16" s="235">
        <v>0</v>
      </c>
      <c r="X16" s="236" t="s">
        <v>370</v>
      </c>
      <c r="Y16" s="246">
        <f>VLOOKUP(C16,'Summary_by FY'!$C$1:$C$1009,1,FALSE)</f>
        <v>20566</v>
      </c>
    </row>
    <row r="17" spans="1:25" s="237" customFormat="1" hidden="1" outlineLevel="1" x14ac:dyDescent="0.4">
      <c r="A17" s="225">
        <f t="shared" si="1"/>
        <v>14</v>
      </c>
      <c r="B17" s="226" t="s">
        <v>89</v>
      </c>
      <c r="C17" s="227">
        <v>20573</v>
      </c>
      <c r="D17" s="226">
        <v>8047</v>
      </c>
      <c r="E17" s="226" t="s">
        <v>238</v>
      </c>
      <c r="F17" s="226" t="s">
        <v>28</v>
      </c>
      <c r="G17" s="228" t="str">
        <f>VLOOKUP(F17,lookup!B:C,2,FALSE)</f>
        <v>Peabody</v>
      </c>
      <c r="H17" s="226" t="s">
        <v>160</v>
      </c>
      <c r="I17" s="226" t="s">
        <v>185</v>
      </c>
      <c r="J17" s="226" t="s">
        <v>268</v>
      </c>
      <c r="K17" s="226" t="s">
        <v>149</v>
      </c>
      <c r="L17" s="229">
        <v>1232681</v>
      </c>
      <c r="M17" s="230">
        <v>1232681</v>
      </c>
      <c r="N17" s="230">
        <v>1113460</v>
      </c>
      <c r="O17" s="230">
        <v>1113460</v>
      </c>
      <c r="P17" s="230">
        <v>1113460</v>
      </c>
      <c r="Q17" s="229"/>
      <c r="R17" s="231">
        <f>'20573'!H9</f>
        <v>1232681</v>
      </c>
      <c r="S17" s="232">
        <f>'20573'!H10</f>
        <v>-119221</v>
      </c>
      <c r="T17" s="232">
        <v>0</v>
      </c>
      <c r="U17" s="233">
        <f t="shared" si="2"/>
        <v>-119221</v>
      </c>
      <c r="V17" s="234">
        <v>0</v>
      </c>
      <c r="W17" s="235">
        <v>0</v>
      </c>
      <c r="X17" s="236" t="s">
        <v>384</v>
      </c>
      <c r="Y17" s="246">
        <f>VLOOKUP(C17,'Summary_by FY'!$C$1:$C$1009,1,FALSE)</f>
        <v>20573</v>
      </c>
    </row>
    <row r="18" spans="1:25" s="237" customFormat="1" hidden="1" outlineLevel="1" x14ac:dyDescent="0.4">
      <c r="A18" s="225">
        <f t="shared" si="1"/>
        <v>15</v>
      </c>
      <c r="B18" s="226" t="s">
        <v>89</v>
      </c>
      <c r="C18" s="227">
        <v>20574</v>
      </c>
      <c r="D18" s="226">
        <v>8145</v>
      </c>
      <c r="E18" s="226" t="s">
        <v>217</v>
      </c>
      <c r="F18" s="226" t="s">
        <v>21</v>
      </c>
      <c r="G18" s="228" t="str">
        <f>VLOOKUP(F18,lookup!B:C,2,FALSE)</f>
        <v>SOM Basic Sciences</v>
      </c>
      <c r="H18" s="226" t="s">
        <v>147</v>
      </c>
      <c r="I18" s="226" t="s">
        <v>186</v>
      </c>
      <c r="J18" s="226" t="s">
        <v>268</v>
      </c>
      <c r="K18" s="226" t="s">
        <v>156</v>
      </c>
      <c r="L18" s="229">
        <v>218202</v>
      </c>
      <c r="M18" s="230">
        <v>218202</v>
      </c>
      <c r="N18" s="230">
        <v>195665</v>
      </c>
      <c r="O18" s="230">
        <v>195665</v>
      </c>
      <c r="P18" s="230">
        <v>195665</v>
      </c>
      <c r="Q18" s="229"/>
      <c r="R18" s="231">
        <f>'20574'!H9</f>
        <v>218202</v>
      </c>
      <c r="S18" s="232">
        <f>'20574'!H10</f>
        <v>-22537</v>
      </c>
      <c r="T18" s="232">
        <v>0</v>
      </c>
      <c r="U18" s="233">
        <f t="shared" si="2"/>
        <v>-22537</v>
      </c>
      <c r="V18" s="234">
        <v>0</v>
      </c>
      <c r="W18" s="235">
        <v>0</v>
      </c>
      <c r="X18" s="236" t="s">
        <v>383</v>
      </c>
      <c r="Y18" s="246">
        <f>VLOOKUP(C18,'Summary_by FY'!$C$1:$C$1009,1,FALSE)</f>
        <v>20574</v>
      </c>
    </row>
    <row r="19" spans="1:25" s="100" customFormat="1" collapsed="1" x14ac:dyDescent="0.4">
      <c r="A19" s="103">
        <f t="shared" si="1"/>
        <v>16</v>
      </c>
      <c r="B19" s="101" t="s">
        <v>89</v>
      </c>
      <c r="C19" s="205">
        <v>20577</v>
      </c>
      <c r="D19" s="101">
        <v>8146</v>
      </c>
      <c r="E19" s="101" t="s">
        <v>165</v>
      </c>
      <c r="F19" s="101" t="s">
        <v>12</v>
      </c>
      <c r="G19" s="102" t="str">
        <f>VLOOKUP(F19,lookup!B:C,2,FALSE)</f>
        <v>Blair</v>
      </c>
      <c r="H19" s="101" t="s">
        <v>150</v>
      </c>
      <c r="I19" s="101" t="s">
        <v>446</v>
      </c>
      <c r="J19" s="101" t="s">
        <v>224</v>
      </c>
      <c r="K19" s="101" t="s">
        <v>151</v>
      </c>
      <c r="L19" s="116">
        <v>1500000</v>
      </c>
      <c r="M19" s="117">
        <v>223000</v>
      </c>
      <c r="N19" s="117">
        <v>220566.21</v>
      </c>
      <c r="O19" s="117">
        <v>220566.21</v>
      </c>
      <c r="P19" s="117">
        <v>185191.21</v>
      </c>
      <c r="Q19" s="116"/>
      <c r="R19" s="118">
        <f>'20577'!H18</f>
        <v>223000</v>
      </c>
      <c r="S19" s="124">
        <v>0</v>
      </c>
      <c r="T19" s="124">
        <v>0</v>
      </c>
      <c r="U19" s="200">
        <f t="shared" si="2"/>
        <v>0</v>
      </c>
      <c r="V19" s="169">
        <v>1500000</v>
      </c>
      <c r="W19" s="221">
        <v>2510000</v>
      </c>
      <c r="X19" t="s">
        <v>423</v>
      </c>
      <c r="Y19" s="245">
        <f>VLOOKUP(C19,'Summary_by FY'!$C$1:$C$1009,1,FALSE)</f>
        <v>20577</v>
      </c>
    </row>
    <row r="20" spans="1:25" s="237" customFormat="1" hidden="1" outlineLevel="1" x14ac:dyDescent="0.4">
      <c r="A20" s="225">
        <f t="shared" si="1"/>
        <v>17</v>
      </c>
      <c r="B20" s="226" t="s">
        <v>89</v>
      </c>
      <c r="C20" s="227">
        <v>20644</v>
      </c>
      <c r="D20" s="226">
        <v>8241</v>
      </c>
      <c r="E20" s="226" t="s">
        <v>220</v>
      </c>
      <c r="F20" s="226" t="s">
        <v>28</v>
      </c>
      <c r="G20" s="228" t="str">
        <f>VLOOKUP(F20,lookup!B:C,2,FALSE)</f>
        <v>Peabody</v>
      </c>
      <c r="H20" s="226" t="s">
        <v>157</v>
      </c>
      <c r="I20" s="226" t="s">
        <v>285</v>
      </c>
      <c r="J20" s="226" t="s">
        <v>268</v>
      </c>
      <c r="K20" s="226" t="s">
        <v>149</v>
      </c>
      <c r="L20" s="229">
        <v>630554</v>
      </c>
      <c r="M20" s="230">
        <v>630554</v>
      </c>
      <c r="N20" s="230">
        <v>571789</v>
      </c>
      <c r="O20" s="230">
        <v>571789</v>
      </c>
      <c r="P20" s="230">
        <v>571789</v>
      </c>
      <c r="Q20" s="229"/>
      <c r="R20" s="231">
        <f>'20644'!H9+'20644'!H10</f>
        <v>630554</v>
      </c>
      <c r="S20" s="232">
        <f>'20644'!H11</f>
        <v>-58765</v>
      </c>
      <c r="T20" s="232">
        <v>0</v>
      </c>
      <c r="U20" s="233">
        <f t="shared" si="2"/>
        <v>-58765</v>
      </c>
      <c r="V20" s="234">
        <v>0</v>
      </c>
      <c r="W20" s="235">
        <v>0</v>
      </c>
      <c r="X20" s="236" t="s">
        <v>361</v>
      </c>
      <c r="Y20" s="246">
        <f>VLOOKUP(C20,'Summary_by FY'!$C$1:$C$1009,1,FALSE)</f>
        <v>20644</v>
      </c>
    </row>
    <row r="21" spans="1:25" s="100" customFormat="1" collapsed="1" x14ac:dyDescent="0.4">
      <c r="A21" s="103">
        <f t="shared" si="1"/>
        <v>18</v>
      </c>
      <c r="B21" s="101" t="s">
        <v>90</v>
      </c>
      <c r="C21" s="205">
        <v>20645</v>
      </c>
      <c r="D21" s="101">
        <v>8239</v>
      </c>
      <c r="E21" s="101"/>
      <c r="F21" s="101" t="s">
        <v>10</v>
      </c>
      <c r="G21" s="102" t="str">
        <f>VLOOKUP(F21,lookup!B:C,2,FALSE)</f>
        <v>Arts &amp; Science</v>
      </c>
      <c r="H21" s="101" t="s">
        <v>148</v>
      </c>
      <c r="I21" s="101" t="s">
        <v>111</v>
      </c>
      <c r="J21" s="101" t="s">
        <v>268</v>
      </c>
      <c r="K21" s="101" t="s">
        <v>149</v>
      </c>
      <c r="L21" s="116">
        <v>125875</v>
      </c>
      <c r="M21" s="117">
        <v>125875</v>
      </c>
      <c r="N21" s="117">
        <v>114350</v>
      </c>
      <c r="O21" s="117">
        <v>114350</v>
      </c>
      <c r="P21" s="117">
        <v>114350</v>
      </c>
      <c r="Q21" s="209">
        <v>11225</v>
      </c>
      <c r="R21" s="118">
        <f>'20645'!H18</f>
        <v>125875</v>
      </c>
      <c r="S21" s="124">
        <v>0</v>
      </c>
      <c r="T21" s="124">
        <v>0</v>
      </c>
      <c r="U21" s="200">
        <f t="shared" si="2"/>
        <v>0</v>
      </c>
      <c r="V21" s="169">
        <v>0</v>
      </c>
      <c r="W21" s="221">
        <v>0</v>
      </c>
      <c r="X21" t="s">
        <v>405</v>
      </c>
      <c r="Y21" s="245">
        <f>VLOOKUP(C21,'Summary_by FY'!$C$1:$C$1009,1,FALSE)</f>
        <v>20645</v>
      </c>
    </row>
    <row r="22" spans="1:25" s="100" customFormat="1" x14ac:dyDescent="0.4">
      <c r="A22" s="103">
        <f t="shared" si="1"/>
        <v>19</v>
      </c>
      <c r="B22" s="101" t="s">
        <v>89</v>
      </c>
      <c r="C22" s="205">
        <v>20667</v>
      </c>
      <c r="D22" s="101">
        <v>8168</v>
      </c>
      <c r="E22" s="101" t="s">
        <v>173</v>
      </c>
      <c r="F22" s="101" t="s">
        <v>15</v>
      </c>
      <c r="G22" s="102" t="str">
        <f>VLOOKUP(F22,lookup!B:C,2,FALSE)</f>
        <v>Engineering</v>
      </c>
      <c r="H22" s="101" t="s">
        <v>163</v>
      </c>
      <c r="I22" s="101" t="s">
        <v>164</v>
      </c>
      <c r="J22" s="101" t="s">
        <v>100</v>
      </c>
      <c r="K22" s="101" t="s">
        <v>156</v>
      </c>
      <c r="L22" s="116">
        <v>2000000</v>
      </c>
      <c r="M22" s="117">
        <v>146500</v>
      </c>
      <c r="N22" s="117">
        <v>146500</v>
      </c>
      <c r="O22" s="117">
        <v>146500</v>
      </c>
      <c r="P22" s="117">
        <v>34500</v>
      </c>
      <c r="Q22" s="116"/>
      <c r="R22" s="118">
        <f>'20667'!H18</f>
        <v>146500</v>
      </c>
      <c r="S22" s="124">
        <v>0</v>
      </c>
      <c r="T22" s="124">
        <v>2000000</v>
      </c>
      <c r="U22" s="200">
        <f t="shared" si="2"/>
        <v>2000000</v>
      </c>
      <c r="V22" s="169">
        <v>0</v>
      </c>
      <c r="W22" s="221">
        <v>0</v>
      </c>
      <c r="X22" t="s">
        <v>424</v>
      </c>
      <c r="Y22" s="245">
        <f>VLOOKUP(C22,'Summary_by FY'!$C$1:$C$1009,1,FALSE)</f>
        <v>20667</v>
      </c>
    </row>
    <row r="23" spans="1:25" s="100" customFormat="1" x14ac:dyDescent="0.4">
      <c r="A23" s="103">
        <f t="shared" si="1"/>
        <v>20</v>
      </c>
      <c r="B23" s="101" t="s">
        <v>89</v>
      </c>
      <c r="C23" s="205">
        <v>20668</v>
      </c>
      <c r="D23" s="101">
        <v>8151</v>
      </c>
      <c r="E23" s="101" t="s">
        <v>188</v>
      </c>
      <c r="F23" s="101" t="s">
        <v>15</v>
      </c>
      <c r="G23" s="102" t="str">
        <f>VLOOKUP(F23,lookup!B:C,2,FALSE)</f>
        <v>Engineering</v>
      </c>
      <c r="H23" s="101" t="s">
        <v>161</v>
      </c>
      <c r="I23" s="101" t="s">
        <v>162</v>
      </c>
      <c r="J23" s="101" t="s">
        <v>100</v>
      </c>
      <c r="K23" s="101" t="s">
        <v>156</v>
      </c>
      <c r="L23" s="116">
        <v>0</v>
      </c>
      <c r="M23" s="117">
        <v>231433</v>
      </c>
      <c r="N23" s="117">
        <v>231433</v>
      </c>
      <c r="O23" s="117">
        <v>231433</v>
      </c>
      <c r="P23" s="117">
        <v>89710</v>
      </c>
      <c r="Q23" s="116"/>
      <c r="R23" s="118">
        <f>'20668'!H9+'20668'!H10</f>
        <v>206500</v>
      </c>
      <c r="S23" s="124">
        <f>'20668'!H11</f>
        <v>24933</v>
      </c>
      <c r="T23" s="124">
        <v>0</v>
      </c>
      <c r="U23" s="200">
        <f t="shared" si="2"/>
        <v>24933</v>
      </c>
      <c r="V23" s="169" t="s">
        <v>216</v>
      </c>
      <c r="W23" s="221">
        <v>0</v>
      </c>
      <c r="X23" t="s">
        <v>425</v>
      </c>
      <c r="Y23" s="245">
        <f>VLOOKUP(C23,'Summary_by FY'!$C$1:$C$1009,1,FALSE)</f>
        <v>20668</v>
      </c>
    </row>
    <row r="24" spans="1:25" s="100" customFormat="1" x14ac:dyDescent="0.4">
      <c r="A24" s="103">
        <f t="shared" si="1"/>
        <v>21</v>
      </c>
      <c r="B24" s="101" t="s">
        <v>89</v>
      </c>
      <c r="C24" s="205">
        <v>20698</v>
      </c>
      <c r="D24" s="101">
        <v>1138</v>
      </c>
      <c r="E24" s="101" t="s">
        <v>213</v>
      </c>
      <c r="F24" s="101" t="s">
        <v>10</v>
      </c>
      <c r="G24" s="102" t="str">
        <f>VLOOKUP(F24,lookup!B:C,2,FALSE)</f>
        <v>Arts &amp; Science</v>
      </c>
      <c r="H24" s="101" t="s">
        <v>205</v>
      </c>
      <c r="I24" s="101" t="s">
        <v>218</v>
      </c>
      <c r="J24" s="101" t="s">
        <v>178</v>
      </c>
      <c r="K24" s="101" t="s">
        <v>156</v>
      </c>
      <c r="L24" s="116">
        <v>680000</v>
      </c>
      <c r="M24" s="117">
        <v>678513</v>
      </c>
      <c r="N24" s="117">
        <v>583771</v>
      </c>
      <c r="O24" s="117">
        <v>583771</v>
      </c>
      <c r="P24" s="117">
        <v>21207.5</v>
      </c>
      <c r="Q24" s="116"/>
      <c r="R24" s="118">
        <f>'20698'!H9+'20698'!H10+'20698'!H11</f>
        <v>29250</v>
      </c>
      <c r="S24" s="124">
        <f>'20698'!H12</f>
        <v>649263</v>
      </c>
      <c r="T24" s="124">
        <v>0</v>
      </c>
      <c r="U24" s="200">
        <f t="shared" si="2"/>
        <v>649263</v>
      </c>
      <c r="V24" s="169">
        <v>0</v>
      </c>
      <c r="W24" s="221">
        <v>0</v>
      </c>
      <c r="X24" s="223" t="s">
        <v>426</v>
      </c>
      <c r="Y24" s="245">
        <f>VLOOKUP(C24,'Summary_by FY'!$C$1:$C$1009,1,FALSE)</f>
        <v>20698</v>
      </c>
    </row>
    <row r="25" spans="1:25" s="237" customFormat="1" hidden="1" outlineLevel="1" x14ac:dyDescent="0.4">
      <c r="A25" s="225">
        <f t="shared" si="1"/>
        <v>22</v>
      </c>
      <c r="B25" s="226" t="s">
        <v>90</v>
      </c>
      <c r="C25" s="227">
        <v>20700</v>
      </c>
      <c r="D25" s="226">
        <v>851</v>
      </c>
      <c r="E25" s="226"/>
      <c r="F25" s="226" t="s">
        <v>10</v>
      </c>
      <c r="G25" s="228" t="str">
        <f>VLOOKUP(F25,lookup!B:C,2,FALSE)</f>
        <v>Arts &amp; Science</v>
      </c>
      <c r="H25" s="226" t="s">
        <v>159</v>
      </c>
      <c r="I25" s="226" t="s">
        <v>359</v>
      </c>
      <c r="J25" s="226" t="s">
        <v>322</v>
      </c>
      <c r="K25" s="226" t="s">
        <v>156</v>
      </c>
      <c r="L25" s="229">
        <v>80000</v>
      </c>
      <c r="M25" s="230">
        <v>85577</v>
      </c>
      <c r="N25" s="230">
        <v>85576.77</v>
      </c>
      <c r="O25" s="230">
        <v>85576.77</v>
      </c>
      <c r="P25" s="230">
        <v>85576.77</v>
      </c>
      <c r="Q25" s="229"/>
      <c r="R25" s="231">
        <f>'20700'!H9+'20700'!H10</f>
        <v>79623</v>
      </c>
      <c r="S25" s="232">
        <f>'20700'!H11</f>
        <v>5954</v>
      </c>
      <c r="T25" s="232">
        <v>0</v>
      </c>
      <c r="U25" s="233">
        <f t="shared" si="2"/>
        <v>5954</v>
      </c>
      <c r="V25" s="234">
        <v>0</v>
      </c>
      <c r="W25" s="235">
        <v>0</v>
      </c>
      <c r="X25" s="239" t="s">
        <v>371</v>
      </c>
      <c r="Y25" s="246">
        <f>VLOOKUP(C25,'Summary_by FY'!$C$1:$C$1009,1,FALSE)</f>
        <v>20700</v>
      </c>
    </row>
    <row r="26" spans="1:25" s="100" customFormat="1" collapsed="1" x14ac:dyDescent="0.4">
      <c r="A26" s="103">
        <f t="shared" si="1"/>
        <v>23</v>
      </c>
      <c r="B26" s="101" t="s">
        <v>89</v>
      </c>
      <c r="C26" s="205">
        <v>20701</v>
      </c>
      <c r="D26" s="101">
        <v>4399</v>
      </c>
      <c r="E26" s="101" t="s">
        <v>272</v>
      </c>
      <c r="F26" s="101" t="s">
        <v>10</v>
      </c>
      <c r="G26" s="102" t="str">
        <f>VLOOKUP(F26,lookup!B:C,2,FALSE)</f>
        <v>Arts &amp; Science</v>
      </c>
      <c r="H26" s="101" t="s">
        <v>206</v>
      </c>
      <c r="I26" s="101" t="s">
        <v>360</v>
      </c>
      <c r="J26" s="101" t="s">
        <v>224</v>
      </c>
      <c r="K26" s="101" t="s">
        <v>156</v>
      </c>
      <c r="L26" s="116">
        <v>500000</v>
      </c>
      <c r="M26" s="117">
        <v>499093</v>
      </c>
      <c r="N26" s="117">
        <v>18000</v>
      </c>
      <c r="O26" s="117">
        <v>18000</v>
      </c>
      <c r="P26" s="117">
        <v>14400</v>
      </c>
      <c r="Q26" s="116"/>
      <c r="R26" s="118">
        <f>'20701'!H18</f>
        <v>499093</v>
      </c>
      <c r="S26" s="124">
        <v>0</v>
      </c>
      <c r="T26" s="124">
        <v>0</v>
      </c>
      <c r="U26" s="200">
        <f t="shared" si="2"/>
        <v>0</v>
      </c>
      <c r="V26" s="169">
        <v>0</v>
      </c>
      <c r="W26" s="221">
        <v>0</v>
      </c>
      <c r="X26" s="224" t="s">
        <v>427</v>
      </c>
      <c r="Y26" s="245">
        <f>VLOOKUP(C26,'Summary_by FY'!$C$1:$C$1009,1,FALSE)</f>
        <v>20701</v>
      </c>
    </row>
    <row r="27" spans="1:25" s="237" customFormat="1" hidden="1" outlineLevel="1" x14ac:dyDescent="0.4">
      <c r="A27" s="225">
        <f t="shared" si="1"/>
        <v>24</v>
      </c>
      <c r="B27" s="226" t="s">
        <v>89</v>
      </c>
      <c r="C27" s="227">
        <v>20702</v>
      </c>
      <c r="D27" s="226">
        <v>8432</v>
      </c>
      <c r="E27" s="226" t="s">
        <v>210</v>
      </c>
      <c r="F27" s="226" t="s">
        <v>28</v>
      </c>
      <c r="G27" s="228" t="str">
        <f>VLOOKUP(F27,lookup!B:C,2,FALSE)</f>
        <v>Peabody</v>
      </c>
      <c r="H27" s="226" t="s">
        <v>160</v>
      </c>
      <c r="I27" s="226" t="s">
        <v>211</v>
      </c>
      <c r="J27" s="226" t="s">
        <v>322</v>
      </c>
      <c r="K27" s="226" t="s">
        <v>149</v>
      </c>
      <c r="L27" s="229">
        <v>225791</v>
      </c>
      <c r="M27" s="230">
        <v>239341</v>
      </c>
      <c r="N27" s="230">
        <v>209419</v>
      </c>
      <c r="O27" s="230">
        <v>209419</v>
      </c>
      <c r="P27" s="230">
        <v>209419</v>
      </c>
      <c r="Q27" s="229"/>
      <c r="R27" s="231">
        <f>'20702'!H9+'20702'!H10</f>
        <v>239341</v>
      </c>
      <c r="S27" s="232">
        <f>'20702'!H11</f>
        <v>-29922</v>
      </c>
      <c r="T27" s="232">
        <v>0</v>
      </c>
      <c r="U27" s="233">
        <f t="shared" si="2"/>
        <v>-29922</v>
      </c>
      <c r="V27" s="234">
        <v>0</v>
      </c>
      <c r="W27" s="235">
        <v>0</v>
      </c>
      <c r="X27" s="239" t="s">
        <v>385</v>
      </c>
      <c r="Y27" s="246">
        <f>VLOOKUP(C27,'Summary_by FY'!$C$1:$C$1009,1,FALSE)</f>
        <v>20702</v>
      </c>
    </row>
    <row r="28" spans="1:25" s="100" customFormat="1" collapsed="1" x14ac:dyDescent="0.4">
      <c r="A28" s="103">
        <f t="shared" si="1"/>
        <v>25</v>
      </c>
      <c r="B28" s="101" t="s">
        <v>89</v>
      </c>
      <c r="C28" s="205">
        <v>20718</v>
      </c>
      <c r="D28" s="101">
        <v>8608</v>
      </c>
      <c r="E28" s="101" t="s">
        <v>260</v>
      </c>
      <c r="F28" s="101" t="s">
        <v>10</v>
      </c>
      <c r="G28" s="102" t="str">
        <f>VLOOKUP(F28,lookup!B:C,2,FALSE)</f>
        <v>Arts &amp; Science</v>
      </c>
      <c r="H28" s="101" t="s">
        <v>261</v>
      </c>
      <c r="I28" s="101" t="s">
        <v>262</v>
      </c>
      <c r="J28" s="101" t="s">
        <v>268</v>
      </c>
      <c r="K28" s="101" t="s">
        <v>263</v>
      </c>
      <c r="L28" s="116">
        <v>715000</v>
      </c>
      <c r="M28" s="117">
        <v>715000</v>
      </c>
      <c r="N28" s="117">
        <v>656784.6</v>
      </c>
      <c r="O28" s="117">
        <v>656784.6</v>
      </c>
      <c r="P28" s="117">
        <v>656576.59</v>
      </c>
      <c r="Q28" s="209" t="s">
        <v>216</v>
      </c>
      <c r="R28" s="118">
        <f>'20718'!H9</f>
        <v>96166</v>
      </c>
      <c r="S28" s="124">
        <v>0</v>
      </c>
      <c r="T28" s="124">
        <v>0</v>
      </c>
      <c r="U28" s="200">
        <f t="shared" si="2"/>
        <v>0</v>
      </c>
      <c r="V28" s="169">
        <v>0</v>
      </c>
      <c r="W28" s="221">
        <v>0</v>
      </c>
      <c r="X28" s="224" t="s">
        <v>406</v>
      </c>
      <c r="Y28" s="245">
        <f>VLOOKUP(C28,'Summary_by FY'!$C$1:$C$1009,1,FALSE)</f>
        <v>20718</v>
      </c>
    </row>
    <row r="29" spans="1:25" s="100" customFormat="1" x14ac:dyDescent="0.4">
      <c r="A29" s="103">
        <f t="shared" si="1"/>
        <v>26</v>
      </c>
      <c r="B29" s="101" t="s">
        <v>89</v>
      </c>
      <c r="C29" s="205">
        <v>20723</v>
      </c>
      <c r="D29" s="101">
        <v>1628</v>
      </c>
      <c r="E29" s="101" t="s">
        <v>252</v>
      </c>
      <c r="F29" s="101" t="s">
        <v>21</v>
      </c>
      <c r="G29" s="102" t="str">
        <f>VLOOKUP(F29,lookup!B:C,2,FALSE)</f>
        <v>SOM Basic Sciences</v>
      </c>
      <c r="H29" s="101" t="s">
        <v>147</v>
      </c>
      <c r="I29" s="101" t="s">
        <v>300</v>
      </c>
      <c r="J29" s="101" t="s">
        <v>178</v>
      </c>
      <c r="K29" s="101" t="s">
        <v>356</v>
      </c>
      <c r="L29" s="116">
        <v>1610000</v>
      </c>
      <c r="M29" s="117">
        <v>160500</v>
      </c>
      <c r="N29" s="117">
        <v>155232.51999999999</v>
      </c>
      <c r="O29" s="117">
        <v>155232.51999999999</v>
      </c>
      <c r="P29" s="117">
        <v>138595.01999999999</v>
      </c>
      <c r="Q29" s="116"/>
      <c r="R29" s="118">
        <f>'20723'!H18</f>
        <v>160500</v>
      </c>
      <c r="S29" s="124">
        <v>0</v>
      </c>
      <c r="T29" s="124">
        <v>0</v>
      </c>
      <c r="U29" s="200">
        <f t="shared" si="2"/>
        <v>0</v>
      </c>
      <c r="V29" s="169" t="s">
        <v>216</v>
      </c>
      <c r="W29" s="221">
        <v>0</v>
      </c>
      <c r="X29" s="224" t="s">
        <v>428</v>
      </c>
      <c r="Y29" s="245">
        <f>VLOOKUP(C29,'Summary_by FY'!$C$1:$C$1009,1,FALSE)</f>
        <v>20723</v>
      </c>
    </row>
    <row r="30" spans="1:25" s="100" customFormat="1" x14ac:dyDescent="0.4">
      <c r="A30" s="103">
        <f t="shared" si="1"/>
        <v>27</v>
      </c>
      <c r="B30" s="101" t="s">
        <v>89</v>
      </c>
      <c r="C30" s="205">
        <v>20724</v>
      </c>
      <c r="D30" s="101">
        <v>8557</v>
      </c>
      <c r="E30" s="101" t="s">
        <v>231</v>
      </c>
      <c r="F30" s="101" t="s">
        <v>12</v>
      </c>
      <c r="G30" s="102" t="str">
        <f>VLOOKUP(F30,lookup!B:C,2,FALSE)</f>
        <v>Blair</v>
      </c>
      <c r="H30" s="101" t="s">
        <v>150</v>
      </c>
      <c r="I30" s="101" t="s">
        <v>447</v>
      </c>
      <c r="J30" s="101" t="s">
        <v>101</v>
      </c>
      <c r="K30" s="101" t="s">
        <v>151</v>
      </c>
      <c r="L30" s="116">
        <v>1987500</v>
      </c>
      <c r="M30" s="117">
        <v>1987500</v>
      </c>
      <c r="N30" s="117">
        <v>1784625</v>
      </c>
      <c r="O30" s="117">
        <v>1784625</v>
      </c>
      <c r="P30" s="117">
        <v>259375.9</v>
      </c>
      <c r="Q30" s="116"/>
      <c r="R30" s="118">
        <f>'20724'!H9</f>
        <v>23400</v>
      </c>
      <c r="S30" s="124">
        <f>'20724'!H10</f>
        <v>1964100</v>
      </c>
      <c r="T30" s="124">
        <v>0</v>
      </c>
      <c r="U30" s="200">
        <f t="shared" si="2"/>
        <v>1964100</v>
      </c>
      <c r="V30" s="169">
        <v>0</v>
      </c>
      <c r="W30" s="221">
        <v>0</v>
      </c>
      <c r="X30" s="224" t="s">
        <v>429</v>
      </c>
      <c r="Y30" s="245">
        <f>VLOOKUP(C30,'Summary_by FY'!$C$1:$C$1009,1,FALSE)</f>
        <v>20724</v>
      </c>
    </row>
    <row r="31" spans="1:25" s="100" customFormat="1" x14ac:dyDescent="0.4">
      <c r="A31" s="103">
        <f t="shared" si="1"/>
        <v>28</v>
      </c>
      <c r="B31" s="101" t="s">
        <v>90</v>
      </c>
      <c r="C31" s="205">
        <v>20735</v>
      </c>
      <c r="D31" s="101">
        <v>8226</v>
      </c>
      <c r="E31" s="101"/>
      <c r="F31" s="101" t="s">
        <v>26</v>
      </c>
      <c r="G31" s="102" t="str">
        <f>VLOOKUP(F31,lookup!B:C,2,FALSE)</f>
        <v>Owen</v>
      </c>
      <c r="H31" s="101" t="s">
        <v>242</v>
      </c>
      <c r="I31" s="101" t="s">
        <v>258</v>
      </c>
      <c r="J31" s="101" t="s">
        <v>299</v>
      </c>
      <c r="K31" s="101" t="s">
        <v>149</v>
      </c>
      <c r="L31" s="116">
        <v>300000</v>
      </c>
      <c r="M31" s="117">
        <v>300000</v>
      </c>
      <c r="N31" s="117">
        <v>276500</v>
      </c>
      <c r="O31" s="117">
        <v>276500</v>
      </c>
      <c r="P31" s="117">
        <v>260350</v>
      </c>
      <c r="Q31" s="209">
        <v>23500</v>
      </c>
      <c r="R31" s="118">
        <f>'20735'!H18</f>
        <v>300000</v>
      </c>
      <c r="S31" s="124">
        <v>0</v>
      </c>
      <c r="T31" s="124">
        <v>0</v>
      </c>
      <c r="U31" s="200">
        <f t="shared" si="2"/>
        <v>0</v>
      </c>
      <c r="V31" s="169">
        <v>0</v>
      </c>
      <c r="W31" s="221">
        <v>0</v>
      </c>
      <c r="X31" s="224" t="s">
        <v>430</v>
      </c>
      <c r="Y31" s="245">
        <f>VLOOKUP(C31,'Summary_by FY'!$C$1:$C$1009,1,FALSE)</f>
        <v>20735</v>
      </c>
    </row>
    <row r="32" spans="1:25" s="100" customFormat="1" x14ac:dyDescent="0.4">
      <c r="A32" s="103">
        <f t="shared" si="1"/>
        <v>29</v>
      </c>
      <c r="B32" s="101" t="s">
        <v>89</v>
      </c>
      <c r="C32" s="206">
        <v>20767</v>
      </c>
      <c r="D32" s="101">
        <v>8673</v>
      </c>
      <c r="E32" s="101" t="s">
        <v>412</v>
      </c>
      <c r="F32" s="101" t="s">
        <v>28</v>
      </c>
      <c r="G32" s="102" t="str">
        <f>VLOOKUP(F32,lookup!B:C,2,FALSE)</f>
        <v>Peabody</v>
      </c>
      <c r="H32" s="101" t="s">
        <v>264</v>
      </c>
      <c r="I32" s="101" t="s">
        <v>265</v>
      </c>
      <c r="J32" s="101" t="s">
        <v>178</v>
      </c>
      <c r="K32" s="101" t="s">
        <v>331</v>
      </c>
      <c r="L32" s="116">
        <v>149000</v>
      </c>
      <c r="M32" s="117">
        <v>148299</v>
      </c>
      <c r="N32" s="117">
        <v>0</v>
      </c>
      <c r="O32" s="117">
        <v>125699</v>
      </c>
      <c r="P32" s="117">
        <v>0</v>
      </c>
      <c r="Q32" s="116"/>
      <c r="R32" s="118">
        <v>0</v>
      </c>
      <c r="S32" s="124">
        <f>'20767'!H9</f>
        <v>148299</v>
      </c>
      <c r="T32" s="124">
        <v>0</v>
      </c>
      <c r="U32" s="200">
        <f t="shared" si="2"/>
        <v>148299</v>
      </c>
      <c r="V32" s="169">
        <v>0</v>
      </c>
      <c r="W32" s="221">
        <v>0</v>
      </c>
      <c r="X32" s="224" t="s">
        <v>431</v>
      </c>
      <c r="Y32" s="245">
        <f>VLOOKUP(C32,'Summary_by FY'!$C$1:$C$1009,1,FALSE)</f>
        <v>20767</v>
      </c>
    </row>
    <row r="33" spans="1:25" s="237" customFormat="1" hidden="1" outlineLevel="1" x14ac:dyDescent="0.4">
      <c r="A33" s="225">
        <f t="shared" si="1"/>
        <v>30</v>
      </c>
      <c r="B33" s="226" t="s">
        <v>90</v>
      </c>
      <c r="C33" s="238">
        <v>20771</v>
      </c>
      <c r="D33" s="226">
        <v>8674</v>
      </c>
      <c r="E33" s="226"/>
      <c r="F33" s="226" t="s">
        <v>10</v>
      </c>
      <c r="G33" s="228" t="str">
        <f>VLOOKUP(F33,lookup!B:C,2,FALSE)</f>
        <v>Arts &amp; Science</v>
      </c>
      <c r="H33" s="226" t="s">
        <v>159</v>
      </c>
      <c r="I33" s="226" t="s">
        <v>267</v>
      </c>
      <c r="J33" s="226" t="s">
        <v>322</v>
      </c>
      <c r="K33" s="226" t="s">
        <v>156</v>
      </c>
      <c r="L33" s="229">
        <v>25000</v>
      </c>
      <c r="M33" s="230">
        <v>24997</v>
      </c>
      <c r="N33" s="230">
        <v>17972</v>
      </c>
      <c r="O33" s="230">
        <v>17972</v>
      </c>
      <c r="P33" s="230">
        <v>17972</v>
      </c>
      <c r="Q33" s="229"/>
      <c r="R33" s="231">
        <f>'20771'!H9+'20771'!H10</f>
        <v>24997</v>
      </c>
      <c r="S33" s="232">
        <f>'20771'!H11</f>
        <v>-7025</v>
      </c>
      <c r="T33" s="232">
        <v>0</v>
      </c>
      <c r="U33" s="200">
        <f t="shared" si="2"/>
        <v>-7025</v>
      </c>
      <c r="V33" s="234">
        <v>0</v>
      </c>
      <c r="W33" s="235">
        <v>0</v>
      </c>
      <c r="X33" s="239" t="s">
        <v>323</v>
      </c>
      <c r="Y33" s="246">
        <f>VLOOKUP(C33,'Summary_by FY'!$C$1:$C$1009,1,FALSE)</f>
        <v>20771</v>
      </c>
    </row>
    <row r="34" spans="1:25" s="100" customFormat="1" collapsed="1" x14ac:dyDescent="0.4">
      <c r="A34" s="103">
        <f t="shared" si="1"/>
        <v>31</v>
      </c>
      <c r="B34" s="101" t="s">
        <v>89</v>
      </c>
      <c r="C34" s="101">
        <v>20772</v>
      </c>
      <c r="D34" s="101">
        <v>8675</v>
      </c>
      <c r="E34" s="101" t="s">
        <v>396</v>
      </c>
      <c r="F34" s="101" t="s">
        <v>26</v>
      </c>
      <c r="G34" s="102" t="str">
        <f>VLOOKUP(F34,lookup!B:C,2,FALSE)</f>
        <v>Owen</v>
      </c>
      <c r="H34" s="101" t="s">
        <v>242</v>
      </c>
      <c r="I34" s="101" t="s">
        <v>368</v>
      </c>
      <c r="J34" s="101" t="s">
        <v>101</v>
      </c>
      <c r="K34" s="101" t="s">
        <v>149</v>
      </c>
      <c r="L34" s="116">
        <v>3200000</v>
      </c>
      <c r="M34" s="117">
        <v>3200000</v>
      </c>
      <c r="N34" s="117">
        <v>2789045</v>
      </c>
      <c r="O34" s="117">
        <v>2789045</v>
      </c>
      <c r="P34" s="117">
        <v>0</v>
      </c>
      <c r="Q34" s="116"/>
      <c r="R34" s="118">
        <v>0</v>
      </c>
      <c r="S34" s="124">
        <v>0</v>
      </c>
      <c r="T34" s="124">
        <v>0</v>
      </c>
      <c r="U34" s="200">
        <f t="shared" si="2"/>
        <v>0</v>
      </c>
      <c r="V34" s="169">
        <v>3200000</v>
      </c>
      <c r="W34" s="221">
        <v>0</v>
      </c>
      <c r="X34" s="224" t="s">
        <v>432</v>
      </c>
      <c r="Y34" s="245">
        <f>VLOOKUP(C34,'Summary_by FY'!$C$1:$C$1009,1,FALSE)</f>
        <v>20772</v>
      </c>
    </row>
    <row r="35" spans="1:25" s="237" customFormat="1" hidden="1" outlineLevel="1" x14ac:dyDescent="0.4">
      <c r="A35" s="225">
        <f t="shared" si="1"/>
        <v>32</v>
      </c>
      <c r="B35" s="226" t="s">
        <v>89</v>
      </c>
      <c r="C35" s="238">
        <v>20792</v>
      </c>
      <c r="D35" s="226">
        <v>1035</v>
      </c>
      <c r="E35" s="226" t="s">
        <v>287</v>
      </c>
      <c r="F35" s="226" t="s">
        <v>154</v>
      </c>
      <c r="G35" s="228" t="str">
        <f>VLOOKUP(F35,lookup!B:C,2,FALSE)</f>
        <v>Law</v>
      </c>
      <c r="H35" s="226" t="s">
        <v>281</v>
      </c>
      <c r="I35" s="226" t="s">
        <v>282</v>
      </c>
      <c r="J35" s="226" t="s">
        <v>322</v>
      </c>
      <c r="K35" s="226" t="s">
        <v>149</v>
      </c>
      <c r="L35" s="229">
        <v>400000</v>
      </c>
      <c r="M35" s="230">
        <v>483440</v>
      </c>
      <c r="N35" s="230">
        <v>450775</v>
      </c>
      <c r="O35" s="230">
        <v>450775</v>
      </c>
      <c r="P35" s="230">
        <v>450775</v>
      </c>
      <c r="Q35" s="229"/>
      <c r="R35" s="231">
        <f>'20792'!H9</f>
        <v>483440</v>
      </c>
      <c r="S35" s="232">
        <f>'20792'!H10</f>
        <v>-32665</v>
      </c>
      <c r="T35" s="232">
        <v>0</v>
      </c>
      <c r="U35" s="200">
        <f t="shared" si="2"/>
        <v>-32665</v>
      </c>
      <c r="V35" s="234">
        <v>0</v>
      </c>
      <c r="W35" s="235">
        <v>0</v>
      </c>
      <c r="X35" s="239" t="s">
        <v>386</v>
      </c>
      <c r="Y35" s="246">
        <f>VLOOKUP(C35,'Summary_by FY'!$C$1:$C$1009,1,FALSE)</f>
        <v>20792</v>
      </c>
    </row>
    <row r="36" spans="1:25" s="100" customFormat="1" collapsed="1" x14ac:dyDescent="0.4">
      <c r="A36" s="103">
        <f t="shared" si="1"/>
        <v>33</v>
      </c>
      <c r="B36" s="101" t="s">
        <v>89</v>
      </c>
      <c r="C36" s="101">
        <v>20811</v>
      </c>
      <c r="D36" s="101"/>
      <c r="E36" s="101" t="s">
        <v>443</v>
      </c>
      <c r="F36" s="101" t="s">
        <v>28</v>
      </c>
      <c r="G36" s="102" t="str">
        <f>VLOOKUP(F36,lookup!B:C,2,FALSE)</f>
        <v>Peabody</v>
      </c>
      <c r="H36" s="101" t="s">
        <v>353</v>
      </c>
      <c r="I36" s="101" t="s">
        <v>415</v>
      </c>
      <c r="J36" s="101" t="s">
        <v>178</v>
      </c>
      <c r="K36" s="101" t="s">
        <v>149</v>
      </c>
      <c r="L36" s="116">
        <v>75000</v>
      </c>
      <c r="M36" s="117">
        <v>2640</v>
      </c>
      <c r="N36" s="117">
        <v>2640</v>
      </c>
      <c r="O36" s="117">
        <v>2640</v>
      </c>
      <c r="P36" s="117">
        <v>1320</v>
      </c>
      <c r="Q36" s="116"/>
      <c r="R36" s="118">
        <v>0</v>
      </c>
      <c r="S36" s="124">
        <v>0</v>
      </c>
      <c r="T36" s="124">
        <v>285235</v>
      </c>
      <c r="U36" s="200">
        <f t="shared" si="2"/>
        <v>285235</v>
      </c>
      <c r="V36" s="169"/>
      <c r="W36" s="221"/>
      <c r="X36" s="101" t="s">
        <v>433</v>
      </c>
      <c r="Y36" s="245">
        <f>VLOOKUP(C36,'Summary_by FY'!$C$1:$C$1009,1,FALSE)</f>
        <v>20811</v>
      </c>
    </row>
    <row r="37" spans="1:25" s="237" customFormat="1" hidden="1" outlineLevel="1" x14ac:dyDescent="0.4">
      <c r="A37" s="225">
        <f t="shared" si="1"/>
        <v>34</v>
      </c>
      <c r="B37" s="226" t="s">
        <v>90</v>
      </c>
      <c r="C37" s="238">
        <v>20831</v>
      </c>
      <c r="D37" s="226">
        <v>8230</v>
      </c>
      <c r="E37" s="226"/>
      <c r="F37" s="226" t="s">
        <v>10</v>
      </c>
      <c r="G37" s="228" t="str">
        <f>VLOOKUP(F37,lookup!B:C,2,FALSE)</f>
        <v>Arts &amp; Science</v>
      </c>
      <c r="H37" s="226" t="s">
        <v>328</v>
      </c>
      <c r="I37" s="226" t="s">
        <v>329</v>
      </c>
      <c r="J37" s="226" t="s">
        <v>322</v>
      </c>
      <c r="K37" s="226" t="s">
        <v>156</v>
      </c>
      <c r="L37" s="229">
        <v>24000</v>
      </c>
      <c r="M37" s="230">
        <v>24000</v>
      </c>
      <c r="N37" s="230">
        <v>24000</v>
      </c>
      <c r="O37" s="230">
        <v>24000</v>
      </c>
      <c r="P37" s="230">
        <v>24000</v>
      </c>
      <c r="Q37" s="229"/>
      <c r="R37" s="231">
        <v>0</v>
      </c>
      <c r="S37" s="232">
        <f>'20831'!H18</f>
        <v>24000</v>
      </c>
      <c r="T37" s="232">
        <v>0</v>
      </c>
      <c r="U37" s="200">
        <f t="shared" si="2"/>
        <v>24000</v>
      </c>
      <c r="V37" s="234">
        <v>0</v>
      </c>
      <c r="W37" s="235">
        <v>0</v>
      </c>
      <c r="X37" s="226" t="s">
        <v>387</v>
      </c>
      <c r="Y37" s="246">
        <f>VLOOKUP(C37,'Summary_by FY'!$C$1:$C$1009,1,FALSE)</f>
        <v>20831</v>
      </c>
    </row>
    <row r="38" spans="1:25" s="237" customFormat="1" hidden="1" outlineLevel="1" x14ac:dyDescent="0.4">
      <c r="A38" s="225">
        <f t="shared" si="1"/>
        <v>35</v>
      </c>
      <c r="B38" s="226" t="s">
        <v>90</v>
      </c>
      <c r="C38" s="238">
        <v>20832</v>
      </c>
      <c r="D38" s="226">
        <v>8220</v>
      </c>
      <c r="E38" s="226"/>
      <c r="F38" s="226" t="s">
        <v>10</v>
      </c>
      <c r="G38" s="228" t="str">
        <f>VLOOKUP(F38,lookup!B:C,2,FALSE)</f>
        <v>Arts &amp; Science</v>
      </c>
      <c r="H38" s="226" t="s">
        <v>205</v>
      </c>
      <c r="I38" s="226" t="s">
        <v>320</v>
      </c>
      <c r="J38" s="226" t="s">
        <v>322</v>
      </c>
      <c r="K38" s="226" t="s">
        <v>156</v>
      </c>
      <c r="L38" s="229">
        <v>24000</v>
      </c>
      <c r="M38" s="230">
        <v>24000</v>
      </c>
      <c r="N38" s="230">
        <v>24000</v>
      </c>
      <c r="O38" s="230">
        <v>24000</v>
      </c>
      <c r="P38" s="230">
        <v>24000</v>
      </c>
      <c r="Q38" s="229"/>
      <c r="R38" s="231">
        <v>0</v>
      </c>
      <c r="S38" s="232">
        <f>'20832'!H18</f>
        <v>24000</v>
      </c>
      <c r="T38" s="232">
        <v>0</v>
      </c>
      <c r="U38" s="200">
        <f t="shared" si="2"/>
        <v>24000</v>
      </c>
      <c r="V38" s="234">
        <v>0</v>
      </c>
      <c r="W38" s="235">
        <v>0</v>
      </c>
      <c r="X38" s="226" t="s">
        <v>388</v>
      </c>
      <c r="Y38" s="246">
        <f>VLOOKUP(C38,'Summary_by FY'!$C$1:$C$1009,1,FALSE)</f>
        <v>20832</v>
      </c>
    </row>
    <row r="39" spans="1:25" s="237" customFormat="1" hidden="1" outlineLevel="1" x14ac:dyDescent="0.4">
      <c r="A39" s="225">
        <f t="shared" si="1"/>
        <v>36</v>
      </c>
      <c r="B39" s="226" t="s">
        <v>90</v>
      </c>
      <c r="C39" s="238">
        <v>20833</v>
      </c>
      <c r="D39" s="226">
        <v>8215</v>
      </c>
      <c r="E39" s="226"/>
      <c r="F39" s="226" t="s">
        <v>10</v>
      </c>
      <c r="G39" s="228" t="str">
        <f>VLOOKUP(F39,lookup!B:C,2,FALSE)</f>
        <v>Arts &amp; Science</v>
      </c>
      <c r="H39" s="226" t="s">
        <v>206</v>
      </c>
      <c r="I39" s="226" t="s">
        <v>321</v>
      </c>
      <c r="J39" s="226" t="s">
        <v>299</v>
      </c>
      <c r="K39" s="226" t="s">
        <v>156</v>
      </c>
      <c r="L39" s="229">
        <v>24000</v>
      </c>
      <c r="M39" s="230">
        <v>24000</v>
      </c>
      <c r="N39" s="230">
        <v>24000</v>
      </c>
      <c r="O39" s="230">
        <v>24000</v>
      </c>
      <c r="P39" s="230">
        <v>24000</v>
      </c>
      <c r="Q39" s="229"/>
      <c r="R39" s="231">
        <v>0</v>
      </c>
      <c r="S39" s="232">
        <f>'20833'!H18</f>
        <v>24000</v>
      </c>
      <c r="T39" s="232">
        <v>0</v>
      </c>
      <c r="U39" s="200">
        <f t="shared" si="2"/>
        <v>24000</v>
      </c>
      <c r="V39" s="234">
        <v>0</v>
      </c>
      <c r="W39" s="235">
        <v>0</v>
      </c>
      <c r="X39" s="226" t="s">
        <v>434</v>
      </c>
      <c r="Y39" s="246">
        <f>VLOOKUP(C39,'Summary_by FY'!$C$1:$C$1009,1,FALSE)</f>
        <v>20833</v>
      </c>
    </row>
    <row r="40" spans="1:25" s="237" customFormat="1" hidden="1" outlineLevel="1" x14ac:dyDescent="0.4">
      <c r="A40" s="225">
        <f t="shared" si="1"/>
        <v>37</v>
      </c>
      <c r="B40" s="226" t="s">
        <v>90</v>
      </c>
      <c r="C40" s="226">
        <v>20834</v>
      </c>
      <c r="D40" s="226"/>
      <c r="E40" s="226"/>
      <c r="F40" s="226" t="s">
        <v>28</v>
      </c>
      <c r="G40" s="228" t="str">
        <f>VLOOKUP(F40,lookup!B:C,2,FALSE)</f>
        <v>Peabody</v>
      </c>
      <c r="H40" s="226" t="s">
        <v>160</v>
      </c>
      <c r="I40" s="226" t="s">
        <v>330</v>
      </c>
      <c r="J40" s="226" t="s">
        <v>322</v>
      </c>
      <c r="K40" s="226" t="s">
        <v>156</v>
      </c>
      <c r="L40" s="229">
        <v>5000</v>
      </c>
      <c r="M40" s="230">
        <v>0</v>
      </c>
      <c r="N40" s="230">
        <v>0</v>
      </c>
      <c r="O40" s="230">
        <v>0</v>
      </c>
      <c r="P40" s="230">
        <v>0</v>
      </c>
      <c r="Q40" s="116"/>
      <c r="R40" s="231">
        <v>0</v>
      </c>
      <c r="S40" s="232">
        <v>0</v>
      </c>
      <c r="T40" s="232">
        <v>0</v>
      </c>
      <c r="U40" s="200">
        <f t="shared" si="2"/>
        <v>0</v>
      </c>
      <c r="V40" s="234">
        <v>0</v>
      </c>
      <c r="W40" s="235">
        <v>0</v>
      </c>
      <c r="X40" s="226" t="s">
        <v>372</v>
      </c>
      <c r="Y40" s="246" t="e">
        <f>VLOOKUP(C40,'Summary_by FY'!$C$1:$C$1009,1,FALSE)</f>
        <v>#N/A</v>
      </c>
    </row>
    <row r="41" spans="1:25" s="100" customFormat="1" collapsed="1" x14ac:dyDescent="0.4">
      <c r="A41" s="103">
        <f t="shared" si="1"/>
        <v>38</v>
      </c>
      <c r="B41" s="101" t="s">
        <v>89</v>
      </c>
      <c r="C41" s="206">
        <v>20857</v>
      </c>
      <c r="D41" s="101">
        <v>8427</v>
      </c>
      <c r="E41" s="101" t="s">
        <v>354</v>
      </c>
      <c r="F41" s="101" t="s">
        <v>28</v>
      </c>
      <c r="G41" s="102" t="str">
        <f>VLOOKUP(F41,lookup!B:C,2,FALSE)</f>
        <v>Peabody</v>
      </c>
      <c r="H41" s="101" t="s">
        <v>353</v>
      </c>
      <c r="I41" s="101" t="s">
        <v>352</v>
      </c>
      <c r="J41" s="101" t="s">
        <v>101</v>
      </c>
      <c r="K41" s="101" t="s">
        <v>149</v>
      </c>
      <c r="L41" s="116">
        <v>499184</v>
      </c>
      <c r="M41" s="117">
        <v>499184</v>
      </c>
      <c r="N41" s="117">
        <v>461612</v>
      </c>
      <c r="O41" s="117">
        <v>461612</v>
      </c>
      <c r="P41" s="117">
        <v>13000</v>
      </c>
      <c r="Q41" s="116"/>
      <c r="R41" s="118">
        <v>0</v>
      </c>
      <c r="S41" s="124">
        <f>'20857'!H9+'20857'!H10+'20857'!H11</f>
        <v>499184</v>
      </c>
      <c r="T41" s="124">
        <v>0</v>
      </c>
      <c r="U41" s="200">
        <f t="shared" si="2"/>
        <v>499184</v>
      </c>
      <c r="V41" s="169">
        <v>0</v>
      </c>
      <c r="W41" s="221">
        <v>0</v>
      </c>
      <c r="X41" s="101" t="s">
        <v>435</v>
      </c>
      <c r="Y41" s="245">
        <f>VLOOKUP(C41,'Summary_by FY'!$C$1:$C$1009,1,FALSE)</f>
        <v>20857</v>
      </c>
    </row>
    <row r="42" spans="1:25" s="237" customFormat="1" x14ac:dyDescent="0.4">
      <c r="A42" s="225">
        <f t="shared" si="1"/>
        <v>39</v>
      </c>
      <c r="B42" s="226"/>
      <c r="C42" s="101">
        <v>20884</v>
      </c>
      <c r="D42" s="101"/>
      <c r="E42" s="101"/>
      <c r="F42" s="101" t="s">
        <v>154</v>
      </c>
      <c r="G42" s="102" t="str">
        <f>VLOOKUP(F42,lookup!B:C,2,FALSE)</f>
        <v>Law</v>
      </c>
      <c r="H42" s="101" t="s">
        <v>281</v>
      </c>
      <c r="I42" s="101" t="s">
        <v>367</v>
      </c>
      <c r="J42" s="101" t="s">
        <v>178</v>
      </c>
      <c r="K42" s="101" t="s">
        <v>149</v>
      </c>
      <c r="L42" s="116">
        <v>0</v>
      </c>
      <c r="M42" s="117">
        <v>0</v>
      </c>
      <c r="N42" s="117">
        <v>0</v>
      </c>
      <c r="O42" s="117">
        <v>0</v>
      </c>
      <c r="P42" s="117">
        <v>0</v>
      </c>
      <c r="Q42" s="116"/>
      <c r="R42" s="118">
        <v>0</v>
      </c>
      <c r="S42" s="124">
        <v>0</v>
      </c>
      <c r="T42" s="124">
        <v>675650</v>
      </c>
      <c r="U42" s="200">
        <f t="shared" si="2"/>
        <v>675650</v>
      </c>
      <c r="V42" s="169"/>
      <c r="W42" s="221"/>
      <c r="X42" s="224" t="s">
        <v>436</v>
      </c>
      <c r="Y42" s="245">
        <f>VLOOKUP(C42,'Summary_by FY'!$C$1:$C$1009,1,FALSE)</f>
        <v>20884</v>
      </c>
    </row>
    <row r="43" spans="1:25" s="100" customFormat="1" x14ac:dyDescent="0.4">
      <c r="A43" s="103">
        <f t="shared" si="1"/>
        <v>40</v>
      </c>
      <c r="B43" s="101" t="s">
        <v>90</v>
      </c>
      <c r="C43" s="206">
        <v>20885</v>
      </c>
      <c r="D43" s="101">
        <v>8676</v>
      </c>
      <c r="E43" s="101"/>
      <c r="F43" s="101" t="s">
        <v>10</v>
      </c>
      <c r="G43" s="102" t="str">
        <f>VLOOKUP(F43,lookup!B:C,2,FALSE)</f>
        <v>Arts &amp; Science</v>
      </c>
      <c r="H43" s="101" t="s">
        <v>369</v>
      </c>
      <c r="I43" s="101" t="s">
        <v>373</v>
      </c>
      <c r="J43" s="101" t="s">
        <v>178</v>
      </c>
      <c r="K43" s="101" t="s">
        <v>156</v>
      </c>
      <c r="L43" s="116">
        <v>99000</v>
      </c>
      <c r="M43" s="117">
        <v>98341</v>
      </c>
      <c r="N43" s="117">
        <v>83231</v>
      </c>
      <c r="O43" s="117">
        <v>83231</v>
      </c>
      <c r="P43" s="117">
        <v>0</v>
      </c>
      <c r="Q43" s="116"/>
      <c r="R43" s="118">
        <v>0</v>
      </c>
      <c r="S43" s="124">
        <f>'20885'!H9</f>
        <v>98341</v>
      </c>
      <c r="T43" s="124">
        <v>25000</v>
      </c>
      <c r="U43" s="200">
        <f t="shared" si="2"/>
        <v>123341</v>
      </c>
      <c r="V43" s="169"/>
      <c r="W43" s="221"/>
      <c r="X43" s="224" t="s">
        <v>437</v>
      </c>
      <c r="Y43" s="245">
        <f>VLOOKUP(C43,'Summary_by FY'!$C$1:$C$1009,1,FALSE)</f>
        <v>20885</v>
      </c>
    </row>
    <row r="44" spans="1:25" s="100" customFormat="1" x14ac:dyDescent="0.4">
      <c r="A44" s="103">
        <f t="shared" si="1"/>
        <v>41</v>
      </c>
      <c r="B44" s="101" t="s">
        <v>89</v>
      </c>
      <c r="C44" s="206">
        <v>20911</v>
      </c>
      <c r="D44" s="101">
        <v>8819</v>
      </c>
      <c r="E44" s="101"/>
      <c r="F44" s="101" t="s">
        <v>10</v>
      </c>
      <c r="G44" s="102" t="str">
        <f>VLOOKUP(F44,lookup!B:C,2,FALSE)</f>
        <v>Arts &amp; Science</v>
      </c>
      <c r="H44" s="101" t="s">
        <v>261</v>
      </c>
      <c r="I44" s="101" t="s">
        <v>379</v>
      </c>
      <c r="J44" s="101" t="s">
        <v>101</v>
      </c>
      <c r="K44" s="101" t="s">
        <v>149</v>
      </c>
      <c r="L44" s="116">
        <v>75000</v>
      </c>
      <c r="M44" s="117">
        <v>61045</v>
      </c>
      <c r="N44" s="117">
        <v>54613</v>
      </c>
      <c r="O44" s="117">
        <v>54613</v>
      </c>
      <c r="P44" s="117">
        <v>27256.5</v>
      </c>
      <c r="Q44" s="116"/>
      <c r="R44" s="118">
        <v>0</v>
      </c>
      <c r="S44" s="124">
        <f>'20911'!H9+'20911'!H10</f>
        <v>61045</v>
      </c>
      <c r="T44" s="124">
        <v>0</v>
      </c>
      <c r="U44" s="200">
        <f t="shared" si="2"/>
        <v>61045</v>
      </c>
      <c r="V44" s="169"/>
      <c r="W44" s="221"/>
      <c r="X44" s="224" t="s">
        <v>438</v>
      </c>
      <c r="Y44" s="245">
        <f>VLOOKUP(C44,'Summary_by FY'!$C$1:$C$1009,1,FALSE)</f>
        <v>20911</v>
      </c>
    </row>
    <row r="45" spans="1:25" s="100" customFormat="1" x14ac:dyDescent="0.4">
      <c r="A45" s="103">
        <f t="shared" si="1"/>
        <v>42</v>
      </c>
      <c r="B45" s="101" t="s">
        <v>89</v>
      </c>
      <c r="C45" s="206">
        <v>20912</v>
      </c>
      <c r="D45" s="101">
        <v>8822</v>
      </c>
      <c r="E45" s="101"/>
      <c r="F45" s="101" t="s">
        <v>10</v>
      </c>
      <c r="G45" s="102" t="str">
        <f>VLOOKUP(F45,lookup!B:C,2,FALSE)</f>
        <v>Arts &amp; Science</v>
      </c>
      <c r="H45" s="101" t="s">
        <v>148</v>
      </c>
      <c r="I45" s="101" t="s">
        <v>380</v>
      </c>
      <c r="J45" s="101" t="s">
        <v>101</v>
      </c>
      <c r="K45" s="101" t="s">
        <v>149</v>
      </c>
      <c r="L45" s="116">
        <v>75000</v>
      </c>
      <c r="M45" s="117">
        <v>59798</v>
      </c>
      <c r="N45" s="117">
        <v>53366</v>
      </c>
      <c r="O45" s="117">
        <v>53366</v>
      </c>
      <c r="P45" s="117">
        <v>2000</v>
      </c>
      <c r="Q45" s="116"/>
      <c r="R45" s="118">
        <v>0</v>
      </c>
      <c r="S45" s="124">
        <f>'20912'!H9+'20912'!H10</f>
        <v>59798</v>
      </c>
      <c r="T45" s="124">
        <v>0</v>
      </c>
      <c r="U45" s="200">
        <f t="shared" si="2"/>
        <v>59798</v>
      </c>
      <c r="V45" s="169"/>
      <c r="W45" s="221"/>
      <c r="X45" s="224" t="s">
        <v>438</v>
      </c>
      <c r="Y45" s="245">
        <f>VLOOKUP(C45,'Summary_by FY'!$C$1:$C$1009,1,FALSE)</f>
        <v>20912</v>
      </c>
    </row>
    <row r="46" spans="1:25" s="100" customFormat="1" x14ac:dyDescent="0.4">
      <c r="A46" s="103">
        <f t="shared" si="1"/>
        <v>43</v>
      </c>
      <c r="B46" s="101" t="s">
        <v>89</v>
      </c>
      <c r="C46" s="206">
        <v>20913</v>
      </c>
      <c r="D46" s="101">
        <v>8818</v>
      </c>
      <c r="E46" s="101"/>
      <c r="F46" s="101" t="s">
        <v>10</v>
      </c>
      <c r="G46" s="102" t="str">
        <f>VLOOKUP(F46,lookup!B:C,2,FALSE)</f>
        <v>Arts &amp; Science</v>
      </c>
      <c r="H46" s="101" t="s">
        <v>205</v>
      </c>
      <c r="I46" s="101" t="s">
        <v>381</v>
      </c>
      <c r="J46" s="101" t="s">
        <v>101</v>
      </c>
      <c r="K46" s="101" t="s">
        <v>149</v>
      </c>
      <c r="L46" s="116">
        <v>75000</v>
      </c>
      <c r="M46" s="117">
        <v>96612</v>
      </c>
      <c r="N46" s="117">
        <v>86900</v>
      </c>
      <c r="O46" s="117">
        <v>86900</v>
      </c>
      <c r="P46" s="117">
        <v>2000</v>
      </c>
      <c r="Q46" s="116"/>
      <c r="R46" s="118">
        <v>0</v>
      </c>
      <c r="S46" s="124">
        <f>'20913'!H9+'20913'!H10</f>
        <v>96612</v>
      </c>
      <c r="T46" s="124">
        <v>0</v>
      </c>
      <c r="U46" s="200">
        <f t="shared" si="2"/>
        <v>96612</v>
      </c>
      <c r="V46" s="169"/>
      <c r="W46" s="221"/>
      <c r="X46" s="224" t="s">
        <v>438</v>
      </c>
      <c r="Y46" s="245">
        <f>VLOOKUP(C46,'Summary_by FY'!$C$1:$C$1009,1,FALSE)</f>
        <v>20913</v>
      </c>
    </row>
    <row r="47" spans="1:25" s="100" customFormat="1" x14ac:dyDescent="0.4">
      <c r="A47" s="103">
        <f t="shared" si="1"/>
        <v>44</v>
      </c>
      <c r="B47" s="101" t="s">
        <v>216</v>
      </c>
      <c r="C47" s="101">
        <v>20924</v>
      </c>
      <c r="D47" s="101"/>
      <c r="E47" s="101"/>
      <c r="F47" s="101" t="s">
        <v>25</v>
      </c>
      <c r="G47" s="102" t="str">
        <f>VLOOKUP(F47,lookup!B:C,2,FALSE)</f>
        <v>Nursing</v>
      </c>
      <c r="H47" s="101" t="s">
        <v>397</v>
      </c>
      <c r="I47" s="101" t="s">
        <v>399</v>
      </c>
      <c r="J47" s="101" t="s">
        <v>178</v>
      </c>
      <c r="K47" s="101" t="s">
        <v>149</v>
      </c>
      <c r="L47" s="116">
        <v>0</v>
      </c>
      <c r="M47" s="117">
        <v>0</v>
      </c>
      <c r="N47" s="117">
        <v>0</v>
      </c>
      <c r="O47" s="117">
        <v>0</v>
      </c>
      <c r="P47" s="117">
        <v>0</v>
      </c>
      <c r="Q47" s="116"/>
      <c r="R47" s="118">
        <v>0</v>
      </c>
      <c r="S47" s="124">
        <v>0</v>
      </c>
      <c r="T47" s="124">
        <v>30570</v>
      </c>
      <c r="U47" s="200">
        <f t="shared" si="2"/>
        <v>30570</v>
      </c>
      <c r="V47" s="169"/>
      <c r="W47" s="221"/>
      <c r="X47" s="224" t="s">
        <v>439</v>
      </c>
      <c r="Y47" s="245">
        <f>VLOOKUP(C47,'Summary_by FY'!$C$1:$C$1009,1,FALSE)</f>
        <v>20924</v>
      </c>
    </row>
    <row r="48" spans="1:25" s="100" customFormat="1" x14ac:dyDescent="0.4">
      <c r="A48" s="103">
        <f t="shared" si="1"/>
        <v>45</v>
      </c>
      <c r="B48" s="101" t="s">
        <v>89</v>
      </c>
      <c r="C48" s="101">
        <v>20925</v>
      </c>
      <c r="D48" s="101"/>
      <c r="E48" s="101"/>
      <c r="F48" s="101" t="s">
        <v>12</v>
      </c>
      <c r="G48" s="102" t="str">
        <f>VLOOKUP(F48,lookup!B:C,2,FALSE)</f>
        <v>Blair</v>
      </c>
      <c r="H48" s="101" t="s">
        <v>150</v>
      </c>
      <c r="I48" s="101" t="s">
        <v>401</v>
      </c>
      <c r="J48" s="101" t="s">
        <v>100</v>
      </c>
      <c r="K48" s="101" t="s">
        <v>151</v>
      </c>
      <c r="L48" s="116">
        <v>2750000</v>
      </c>
      <c r="M48" s="117">
        <v>0</v>
      </c>
      <c r="N48" s="117">
        <v>0</v>
      </c>
      <c r="O48" s="117">
        <v>0</v>
      </c>
      <c r="P48" s="117">
        <v>0</v>
      </c>
      <c r="Q48" s="116"/>
      <c r="R48" s="118">
        <v>0</v>
      </c>
      <c r="S48" s="124">
        <v>0</v>
      </c>
      <c r="T48" s="124">
        <v>0</v>
      </c>
      <c r="U48" s="200">
        <f t="shared" si="2"/>
        <v>0</v>
      </c>
      <c r="V48" s="169"/>
      <c r="W48" s="221">
        <f>L48</f>
        <v>2750000</v>
      </c>
      <c r="X48" s="224" t="s">
        <v>440</v>
      </c>
      <c r="Y48" s="245">
        <f>VLOOKUP(C48,'Summary_by FY'!$C$1:$C$1009,1,FALSE)</f>
        <v>20925</v>
      </c>
    </row>
    <row r="49" spans="1:25" s="100" customFormat="1" x14ac:dyDescent="0.4">
      <c r="A49" s="103">
        <f t="shared" si="1"/>
        <v>46</v>
      </c>
      <c r="B49" s="101" t="s">
        <v>216</v>
      </c>
      <c r="C49" s="101">
        <v>20934</v>
      </c>
      <c r="D49" s="101"/>
      <c r="E49" s="101"/>
      <c r="F49" s="101" t="s">
        <v>10</v>
      </c>
      <c r="G49" s="102" t="str">
        <f>VLOOKUP(F49,lookup!B:C,2,FALSE)</f>
        <v>Arts &amp; Science</v>
      </c>
      <c r="H49" s="101" t="s">
        <v>398</v>
      </c>
      <c r="I49" s="101" t="s">
        <v>402</v>
      </c>
      <c r="J49" s="101" t="s">
        <v>266</v>
      </c>
      <c r="K49" s="101" t="s">
        <v>156</v>
      </c>
      <c r="L49" s="116"/>
      <c r="M49" s="117">
        <v>0</v>
      </c>
      <c r="N49" s="117">
        <v>0</v>
      </c>
      <c r="O49" s="117">
        <v>0</v>
      </c>
      <c r="P49" s="117">
        <v>0</v>
      </c>
      <c r="Q49" s="116"/>
      <c r="R49" s="118">
        <v>0</v>
      </c>
      <c r="S49" s="124">
        <v>0</v>
      </c>
      <c r="T49" s="124">
        <v>0</v>
      </c>
      <c r="U49" s="200">
        <f t="shared" si="2"/>
        <v>0</v>
      </c>
      <c r="V49" s="169"/>
      <c r="W49" s="221"/>
      <c r="X49" s="224" t="s">
        <v>407</v>
      </c>
      <c r="Y49" s="245">
        <f>VLOOKUP(C49,'Summary_by FY'!$C$1:$C$1009,1,FALSE)</f>
        <v>20934</v>
      </c>
    </row>
    <row r="50" spans="1:25" s="100" customFormat="1" x14ac:dyDescent="0.4">
      <c r="A50" s="103">
        <f t="shared" si="1"/>
        <v>47</v>
      </c>
      <c r="B50" s="101" t="s">
        <v>216</v>
      </c>
      <c r="C50" s="206">
        <v>20936</v>
      </c>
      <c r="D50" s="101">
        <v>8814</v>
      </c>
      <c r="E50" s="101"/>
      <c r="F50" s="101" t="s">
        <v>10</v>
      </c>
      <c r="G50" s="102" t="str">
        <f>VLOOKUP(F50,lookup!B:C,2,FALSE)</f>
        <v>Arts &amp; Science</v>
      </c>
      <c r="H50" s="101" t="s">
        <v>205</v>
      </c>
      <c r="I50" s="101" t="s">
        <v>403</v>
      </c>
      <c r="J50" s="101" t="s">
        <v>178</v>
      </c>
      <c r="K50" s="101" t="s">
        <v>331</v>
      </c>
      <c r="L50" s="116">
        <v>0</v>
      </c>
      <c r="M50" s="117">
        <v>0</v>
      </c>
      <c r="N50" s="117">
        <v>0</v>
      </c>
      <c r="O50" s="117">
        <v>0</v>
      </c>
      <c r="P50" s="117">
        <v>0</v>
      </c>
      <c r="Q50" s="116"/>
      <c r="R50" s="118">
        <v>0</v>
      </c>
      <c r="S50" s="124">
        <v>0</v>
      </c>
      <c r="T50" s="124">
        <v>0</v>
      </c>
      <c r="U50" s="200">
        <f t="shared" si="2"/>
        <v>0</v>
      </c>
      <c r="V50" s="169"/>
      <c r="W50" s="221"/>
      <c r="X50" s="224" t="s">
        <v>441</v>
      </c>
      <c r="Y50" s="245">
        <f>VLOOKUP(C50,'Summary_by FY'!$C$1:$C$1009,1,FALSE)</f>
        <v>20936</v>
      </c>
    </row>
    <row r="51" spans="1:25" s="100" customFormat="1" x14ac:dyDescent="0.4">
      <c r="A51" s="103">
        <f t="shared" si="1"/>
        <v>48</v>
      </c>
      <c r="B51" s="101" t="s">
        <v>216</v>
      </c>
      <c r="C51" s="101">
        <v>20940</v>
      </c>
      <c r="D51" s="101"/>
      <c r="E51" s="101"/>
      <c r="F51" s="101" t="s">
        <v>15</v>
      </c>
      <c r="G51" s="102" t="str">
        <f>VLOOKUP(F51,lookup!B:C,2,FALSE)</f>
        <v>Engineering</v>
      </c>
      <c r="H51" s="101" t="s">
        <v>163</v>
      </c>
      <c r="I51" s="101" t="s">
        <v>404</v>
      </c>
      <c r="J51" s="101" t="s">
        <v>400</v>
      </c>
      <c r="K51" s="101" t="s">
        <v>156</v>
      </c>
      <c r="L51" s="116"/>
      <c r="M51" s="117">
        <v>0</v>
      </c>
      <c r="N51" s="117">
        <v>0</v>
      </c>
      <c r="O51" s="117">
        <v>0</v>
      </c>
      <c r="P51" s="117">
        <v>0</v>
      </c>
      <c r="Q51" s="116"/>
      <c r="R51" s="118">
        <v>0</v>
      </c>
      <c r="S51" s="124">
        <v>0</v>
      </c>
      <c r="T51" s="124">
        <v>0</v>
      </c>
      <c r="U51" s="200">
        <f t="shared" si="2"/>
        <v>0</v>
      </c>
      <c r="V51" s="169"/>
      <c r="W51" s="221"/>
      <c r="X51" s="224" t="s">
        <v>407</v>
      </c>
      <c r="Y51" s="245">
        <f>VLOOKUP(C51,'Summary_by FY'!$C$1:$C$1009,1,FALSE)</f>
        <v>20940</v>
      </c>
    </row>
    <row r="52" spans="1:25" s="100" customFormat="1" collapsed="1" x14ac:dyDescent="0.4">
      <c r="A52" s="103">
        <f t="shared" si="1"/>
        <v>49</v>
      </c>
      <c r="B52" s="101" t="s">
        <v>90</v>
      </c>
      <c r="C52" s="206">
        <v>20945</v>
      </c>
      <c r="D52" s="101"/>
      <c r="E52" s="101"/>
      <c r="F52" s="101" t="s">
        <v>444</v>
      </c>
      <c r="G52" s="102" t="s">
        <v>392</v>
      </c>
      <c r="H52" s="101" t="s">
        <v>378</v>
      </c>
      <c r="I52" s="101" t="s">
        <v>411</v>
      </c>
      <c r="J52" s="101" t="s">
        <v>178</v>
      </c>
      <c r="K52" s="101" t="s">
        <v>156</v>
      </c>
      <c r="L52" s="116">
        <v>99000</v>
      </c>
      <c r="M52" s="117">
        <v>99000</v>
      </c>
      <c r="N52" s="117">
        <v>75900</v>
      </c>
      <c r="O52" s="117">
        <v>75900</v>
      </c>
      <c r="P52" s="117">
        <v>0</v>
      </c>
      <c r="Q52" s="116"/>
      <c r="R52" s="118">
        <v>0</v>
      </c>
      <c r="S52" s="124">
        <f>'20945'!H9</f>
        <v>99000</v>
      </c>
      <c r="T52" s="124">
        <v>0</v>
      </c>
      <c r="U52" s="200">
        <f t="shared" si="2"/>
        <v>99000</v>
      </c>
      <c r="V52" s="169" t="s">
        <v>216</v>
      </c>
      <c r="W52" s="221"/>
      <c r="X52" s="101" t="s">
        <v>442</v>
      </c>
      <c r="Y52" s="245">
        <f>VLOOKUP(C52,'Summary_by FY'!$C$1:$C$1009,1,FALSE)</f>
        <v>20945</v>
      </c>
    </row>
    <row r="53" spans="1:25" s="100" customFormat="1" x14ac:dyDescent="0.4">
      <c r="A53" s="103">
        <f t="shared" si="1"/>
        <v>50</v>
      </c>
      <c r="B53" s="101" t="s">
        <v>216</v>
      </c>
      <c r="C53" s="101">
        <v>20957</v>
      </c>
      <c r="D53" s="101"/>
      <c r="E53" s="101"/>
      <c r="F53" s="101" t="s">
        <v>10</v>
      </c>
      <c r="G53" s="102" t="str">
        <f>VLOOKUP(F53,lookup!B:C,2,FALSE)</f>
        <v>Arts &amp; Science</v>
      </c>
      <c r="H53" s="101" t="s">
        <v>328</v>
      </c>
      <c r="I53" s="101" t="s">
        <v>416</v>
      </c>
      <c r="J53" s="101" t="s">
        <v>400</v>
      </c>
      <c r="K53" s="101" t="s">
        <v>151</v>
      </c>
      <c r="L53" s="116">
        <v>500000</v>
      </c>
      <c r="M53" s="117">
        <v>0</v>
      </c>
      <c r="N53" s="117">
        <v>0</v>
      </c>
      <c r="O53" s="117">
        <v>0</v>
      </c>
      <c r="P53" s="117">
        <v>0</v>
      </c>
      <c r="Q53" s="116"/>
      <c r="R53" s="118">
        <v>0</v>
      </c>
      <c r="S53" s="124">
        <v>0</v>
      </c>
      <c r="T53" s="124">
        <v>350000</v>
      </c>
      <c r="U53" s="200">
        <f t="shared" si="2"/>
        <v>350000</v>
      </c>
      <c r="V53" s="169"/>
      <c r="W53" s="221"/>
      <c r="X53" s="101" t="s">
        <v>407</v>
      </c>
      <c r="Y53" s="245">
        <f>VLOOKUP(C53,'Summary_by FY'!$C$1:$C$1009,1,FALSE)</f>
        <v>20957</v>
      </c>
    </row>
    <row r="54" spans="1:25" s="100" customFormat="1" x14ac:dyDescent="0.4">
      <c r="A54" s="103">
        <f t="shared" si="1"/>
        <v>51</v>
      </c>
      <c r="B54" s="101" t="s">
        <v>216</v>
      </c>
      <c r="C54" s="101">
        <v>20958</v>
      </c>
      <c r="D54" s="101"/>
      <c r="E54" s="101"/>
      <c r="F54" s="101" t="s">
        <v>10</v>
      </c>
      <c r="G54" s="102" t="str">
        <f>VLOOKUP(F54,lookup!B:C,2,FALSE)</f>
        <v>Arts &amp; Science</v>
      </c>
      <c r="H54" s="101" t="s">
        <v>417</v>
      </c>
      <c r="I54" s="100" t="s">
        <v>418</v>
      </c>
      <c r="J54" s="101" t="s">
        <v>400</v>
      </c>
      <c r="K54" s="101" t="s">
        <v>149</v>
      </c>
      <c r="L54" s="116">
        <v>290000</v>
      </c>
      <c r="M54" s="117">
        <v>0</v>
      </c>
      <c r="N54" s="117">
        <v>0</v>
      </c>
      <c r="O54" s="117">
        <v>0</v>
      </c>
      <c r="P54" s="117">
        <v>0</v>
      </c>
      <c r="Q54" s="116"/>
      <c r="R54" s="118">
        <v>0</v>
      </c>
      <c r="S54" s="124">
        <v>0</v>
      </c>
      <c r="T54" s="124">
        <v>18175</v>
      </c>
      <c r="U54" s="200">
        <f t="shared" si="2"/>
        <v>18175</v>
      </c>
      <c r="V54" s="169" t="s">
        <v>216</v>
      </c>
      <c r="W54" s="221"/>
      <c r="X54" s="101" t="s">
        <v>407</v>
      </c>
      <c r="Y54" s="245">
        <f>VLOOKUP(C54,'Summary_by FY'!$C$1:$C$1009,1,FALSE)</f>
        <v>20958</v>
      </c>
    </row>
    <row r="55" spans="1:25" ht="15" thickBot="1" x14ac:dyDescent="0.45">
      <c r="B55" s="91"/>
      <c r="C55" s="91"/>
      <c r="D55" s="92"/>
      <c r="E55" s="91"/>
      <c r="F55" s="91"/>
      <c r="G55" s="104"/>
      <c r="H55" s="91"/>
      <c r="I55" s="91"/>
      <c r="J55" s="91"/>
      <c r="K55" s="91"/>
      <c r="L55" s="119">
        <f t="shared" ref="L55:W55" si="3">SUM(L4:L54)</f>
        <v>37127926.759999998</v>
      </c>
      <c r="M55" s="120">
        <f t="shared" si="3"/>
        <v>24254112.759999998</v>
      </c>
      <c r="N55" s="120">
        <f t="shared" si="3"/>
        <v>21431564.189999998</v>
      </c>
      <c r="O55" s="120">
        <f t="shared" si="3"/>
        <v>21562013.189999998</v>
      </c>
      <c r="P55" s="120">
        <f t="shared" si="3"/>
        <v>12801169.139999999</v>
      </c>
      <c r="Q55" s="119">
        <f t="shared" si="3"/>
        <v>127690.86</v>
      </c>
      <c r="R55" s="121">
        <f t="shared" si="3"/>
        <v>8797286.2599999998</v>
      </c>
      <c r="S55" s="125">
        <f t="shared" si="3"/>
        <v>8218176.3599999994</v>
      </c>
      <c r="T55" s="125">
        <f t="shared" si="3"/>
        <v>3384630</v>
      </c>
      <c r="U55" s="201">
        <f t="shared" si="3"/>
        <v>11602806.359999999</v>
      </c>
      <c r="V55" s="170">
        <f t="shared" si="3"/>
        <v>4700000</v>
      </c>
      <c r="W55" s="222">
        <f t="shared" si="3"/>
        <v>8430000</v>
      </c>
      <c r="X55" s="91"/>
    </row>
    <row r="56" spans="1:25" x14ac:dyDescent="0.4">
      <c r="R56" s="122" t="b">
        <f>R55='JE LOG_FY23'!C21</f>
        <v>1</v>
      </c>
      <c r="S56" s="122" t="b">
        <f>S55='JE LOG_FY24'!C21</f>
        <v>1</v>
      </c>
      <c r="U56" s="86"/>
    </row>
    <row r="57" spans="1:25" x14ac:dyDescent="0.4">
      <c r="I57" s="97" t="s">
        <v>212</v>
      </c>
    </row>
    <row r="58" spans="1:25" x14ac:dyDescent="0.4">
      <c r="I58" s="252" t="s">
        <v>414</v>
      </c>
      <c r="M58" s="158"/>
      <c r="N58" s="158"/>
      <c r="O58" s="158"/>
      <c r="P58" s="158"/>
      <c r="Q58" s="158" t="s">
        <v>254</v>
      </c>
      <c r="R58" s="158">
        <f>'Summary_for Web-1'!C15</f>
        <v>9364499</v>
      </c>
      <c r="T58" s="158" t="s">
        <v>312</v>
      </c>
      <c r="U58" s="158">
        <f>R64</f>
        <v>567212.74000000022</v>
      </c>
    </row>
    <row r="59" spans="1:25" x14ac:dyDescent="0.4">
      <c r="A59" s="84"/>
      <c r="I59" s="252" t="s">
        <v>374</v>
      </c>
      <c r="L59" s="158"/>
      <c r="M59" s="158"/>
      <c r="N59" s="158"/>
      <c r="O59" s="158"/>
      <c r="P59" s="158"/>
      <c r="Q59" s="158"/>
      <c r="R59" s="159"/>
      <c r="T59" s="158" t="s">
        <v>254</v>
      </c>
      <c r="U59" s="158">
        <f>Contributions!G14</f>
        <v>11029283.289999999</v>
      </c>
    </row>
    <row r="60" spans="1:25" x14ac:dyDescent="0.4">
      <c r="J60" s="105"/>
      <c r="M60" s="158"/>
      <c r="N60" s="158"/>
      <c r="O60" s="158"/>
      <c r="P60" s="158"/>
      <c r="Q60" s="158" t="s">
        <v>255</v>
      </c>
      <c r="R60" s="159">
        <f>R55</f>
        <v>8797286.2599999998</v>
      </c>
      <c r="T60" s="158"/>
      <c r="U60" s="160">
        <f>SUM(U58:U59)</f>
        <v>11596496.029999999</v>
      </c>
    </row>
    <row r="61" spans="1:25" x14ac:dyDescent="0.4">
      <c r="J61" s="105"/>
      <c r="M61" s="158"/>
      <c r="N61" s="158"/>
      <c r="O61" s="158"/>
      <c r="P61" s="158"/>
      <c r="Q61" s="158"/>
      <c r="R61" s="159"/>
      <c r="T61" s="158"/>
      <c r="U61" s="158"/>
    </row>
    <row r="62" spans="1:25" x14ac:dyDescent="0.4">
      <c r="J62" s="105"/>
      <c r="L62" s="158"/>
      <c r="M62" s="158"/>
      <c r="N62" s="158"/>
      <c r="O62" s="158"/>
      <c r="P62" s="158"/>
      <c r="R62" s="159"/>
      <c r="T62" s="158"/>
      <c r="U62" s="158"/>
    </row>
    <row r="63" spans="1:25" x14ac:dyDescent="0.4">
      <c r="I63" s="97" t="s">
        <v>222</v>
      </c>
      <c r="L63" s="158"/>
      <c r="M63" s="158"/>
      <c r="N63" s="158"/>
      <c r="O63" s="158"/>
      <c r="P63" s="158"/>
      <c r="Q63" s="158"/>
      <c r="R63" s="158"/>
    </row>
    <row r="64" spans="1:25" x14ac:dyDescent="0.4">
      <c r="I64" s="98" t="s">
        <v>348</v>
      </c>
      <c r="M64" s="158"/>
      <c r="N64" s="158"/>
      <c r="O64" s="158"/>
      <c r="P64" s="158"/>
      <c r="Q64" s="158" t="s">
        <v>256</v>
      </c>
      <c r="R64" s="158">
        <f>R58-R60</f>
        <v>567212.74000000022</v>
      </c>
      <c r="T64" s="158" t="s">
        <v>255</v>
      </c>
      <c r="U64" s="159">
        <f>S55</f>
        <v>8218176.3599999994</v>
      </c>
    </row>
    <row r="65" spans="9:21" x14ac:dyDescent="0.4">
      <c r="T65" s="158" t="s">
        <v>257</v>
      </c>
      <c r="U65" s="159">
        <f>T55</f>
        <v>3384630</v>
      </c>
    </row>
    <row r="66" spans="9:21" x14ac:dyDescent="0.4">
      <c r="T66" s="158"/>
      <c r="U66" s="160">
        <f>SUM(U64:U65)</f>
        <v>11602806.359999999</v>
      </c>
    </row>
    <row r="67" spans="9:21" x14ac:dyDescent="0.4">
      <c r="T67" s="158"/>
      <c r="U67" s="158"/>
    </row>
    <row r="68" spans="9:21" x14ac:dyDescent="0.4">
      <c r="Q68" s="210" t="s">
        <v>390</v>
      </c>
      <c r="R68" s="210">
        <f>Q7+Q21+Q31</f>
        <v>127690.86</v>
      </c>
      <c r="T68" s="158" t="s">
        <v>256</v>
      </c>
      <c r="U68" s="158">
        <f>U60-U66</f>
        <v>-6310.3300000000745</v>
      </c>
    </row>
    <row r="72" spans="9:21" x14ac:dyDescent="0.4">
      <c r="I72" s="171"/>
    </row>
    <row r="73" spans="9:21" x14ac:dyDescent="0.4">
      <c r="I73" s="171"/>
    </row>
    <row r="92" spans="9:9" x14ac:dyDescent="0.4">
      <c r="I92" s="101"/>
    </row>
    <row r="93" spans="9:9" x14ac:dyDescent="0.4">
      <c r="I93" s="101"/>
    </row>
    <row r="94" spans="9:9" x14ac:dyDescent="0.4">
      <c r="I94" s="101"/>
    </row>
    <row r="95" spans="9:9" x14ac:dyDescent="0.4">
      <c r="I95" s="101"/>
    </row>
    <row r="96" spans="9:9" x14ac:dyDescent="0.4">
      <c r="I96" s="101"/>
    </row>
    <row r="97" spans="9:9" x14ac:dyDescent="0.4">
      <c r="I97" s="101"/>
    </row>
    <row r="98" spans="9:9" x14ac:dyDescent="0.4">
      <c r="I98" s="101"/>
    </row>
    <row r="99" spans="9:9" x14ac:dyDescent="0.4">
      <c r="I99" s="101"/>
    </row>
    <row r="100" spans="9:9" x14ac:dyDescent="0.4">
      <c r="I100" s="101"/>
    </row>
    <row r="101" spans="9:9" x14ac:dyDescent="0.4">
      <c r="I101" s="101"/>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U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9" location="'20833'!A1" display="'20833'!A1" xr:uid="{D660A35B-E5FA-4306-B284-C599161FF1B9}"/>
    <hyperlink ref="C38" location="'20832'!A1" display="'20832'!A1" xr:uid="{558B6E4F-42AF-4C1D-A848-552C93D37A2B}"/>
    <hyperlink ref="C37" location="'20831'!A1" display="'20831'!A1" xr:uid="{B4100B18-B071-4D4E-B0B0-FC25FA5C0356}"/>
    <hyperlink ref="C41" location="'20857'!A1" display="'20857'!A1" xr:uid="{4F373CCB-5B9B-496C-80AB-3C3313143CC6}"/>
    <hyperlink ref="C44" location="'20911'!A1" display="'20911'!A1" xr:uid="{5A7847D4-8EB2-4850-AAFA-711670B2EB33}"/>
    <hyperlink ref="C45" location="'20912'!A1" display="'20912'!A1" xr:uid="{51B82CFE-DB43-4221-B61A-F79AB22CDF20}"/>
    <hyperlink ref="C46" location="'20913'!A1" display="'20913'!A1" xr:uid="{495AC23D-8D67-4BBC-9782-C5F54726F3F8}"/>
    <hyperlink ref="C43" location="'20885'!A1" display="'20885'!A1" xr:uid="{C23E2461-412D-46B9-8764-3533EF3FFF30}"/>
    <hyperlink ref="C32" location="'20767'!A1" display="'20767'!A1" xr:uid="{75388F17-E384-4428-8BFF-D4C156449535}"/>
    <hyperlink ref="C52" location="'20945'!A1" display="'20945'!A1" xr:uid="{CB0E891E-3E02-4299-95D4-124C099A482C}"/>
    <hyperlink ref="C50" location="'20936'!A1" display="'20936'!A1" xr:uid="{9C2BA3B2-64F9-4080-B767-E34AD0224F9B}"/>
  </hyperlink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17"/>
  <sheetViews>
    <sheetView topLeftCell="A52" zoomScale="90" zoomScaleNormal="90" workbookViewId="0">
      <selection activeCell="L73" sqref="L73"/>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20.69140625" customWidth="1"/>
    <col min="7" max="7" width="13.84375" bestFit="1" customWidth="1"/>
    <col min="8" max="8" width="14.15234375" customWidth="1"/>
    <col min="9" max="10" width="12" style="21" customWidth="1" outlineLevel="1"/>
    <col min="11" max="12" width="14.15234375" customWidth="1"/>
    <col min="14" max="14" width="11.15234375" bestFit="1" customWidth="1"/>
    <col min="15" max="15" width="10.53515625" bestFit="1" customWidth="1"/>
  </cols>
  <sheetData>
    <row r="2" spans="1:12" x14ac:dyDescent="0.4">
      <c r="A2" s="269" t="s">
        <v>289</v>
      </c>
      <c r="B2" s="174"/>
      <c r="C2" s="174" t="s">
        <v>125</v>
      </c>
      <c r="D2" s="174" t="s">
        <v>114</v>
      </c>
      <c r="E2" s="174" t="s">
        <v>87</v>
      </c>
      <c r="F2" s="261" t="s">
        <v>128</v>
      </c>
      <c r="G2" s="261" t="s">
        <v>129</v>
      </c>
      <c r="H2" s="185" t="s">
        <v>293</v>
      </c>
      <c r="I2" s="175" t="s">
        <v>255</v>
      </c>
      <c r="J2" s="175" t="s">
        <v>291</v>
      </c>
      <c r="K2" s="191" t="s">
        <v>290</v>
      </c>
      <c r="L2" s="192" t="s">
        <v>256</v>
      </c>
    </row>
    <row r="3" spans="1:12" ht="14.7" customHeight="1" x14ac:dyDescent="0.4">
      <c r="A3" s="269"/>
      <c r="B3" s="108">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68">
        <v>9364499</v>
      </c>
      <c r="I3" s="21">
        <f>VLOOKUP(C3,'Project Status'!C:R,16,FALSE)</f>
        <v>17500</v>
      </c>
      <c r="K3" s="173">
        <f>SUM(I3:J3)</f>
        <v>17500</v>
      </c>
      <c r="L3" s="196"/>
    </row>
    <row r="4" spans="1:12" x14ac:dyDescent="0.4">
      <c r="A4" s="269"/>
      <c r="B4" s="108">
        <v>2</v>
      </c>
      <c r="C4">
        <v>10098</v>
      </c>
      <c r="D4" t="str">
        <f>VLOOKUP(C4,'Project Status'!C:H,6,FALSE)</f>
        <v>MRB III BIO/SCI</v>
      </c>
      <c r="E4" t="str">
        <f>VLOOKUP(C4,'Project Status'!C:I,7,FALSE)</f>
        <v>MRB III - 4th Floor - Replace Controls (Phase 2)</v>
      </c>
      <c r="F4" t="s">
        <v>233</v>
      </c>
      <c r="G4" t="str">
        <f>VLOOKUP(C4,'Project Status'!C:K,9,FALSE)</f>
        <v>Hans Mooy</v>
      </c>
      <c r="H4" s="268"/>
      <c r="I4" s="21">
        <f>VLOOKUP(C4,'Project Status'!C:R,16,FALSE)</f>
        <v>1216485.5</v>
      </c>
      <c r="K4" s="173">
        <f t="shared" ref="K4:K31" si="0">SUM(I4:J4)</f>
        <v>1216485.5</v>
      </c>
      <c r="L4" s="196"/>
    </row>
    <row r="5" spans="1:12" x14ac:dyDescent="0.4">
      <c r="A5" s="269"/>
      <c r="B5" s="108">
        <v>3</v>
      </c>
      <c r="C5">
        <v>10146</v>
      </c>
      <c r="D5" t="str">
        <f>VLOOKUP(C5,'Project Status'!C:H,6,FALSE)</f>
        <v>GODCHAUX HALL</v>
      </c>
      <c r="E5" t="str">
        <f>VLOOKUP(C5,'Project Status'!C:I,7,FALSE)</f>
        <v>Godchaux Hall - HVAC Upgrade</v>
      </c>
      <c r="F5" t="s">
        <v>100</v>
      </c>
      <c r="G5" t="str">
        <f>VLOOKUP(C5,'Project Status'!C:K,9,FALSE)</f>
        <v>Sean Rewers</v>
      </c>
      <c r="H5" s="268"/>
      <c r="I5" s="21">
        <f>VLOOKUP(C5,'Project Status'!C:R,16,FALSE)</f>
        <v>4900</v>
      </c>
      <c r="K5" s="173">
        <f t="shared" si="0"/>
        <v>4900</v>
      </c>
      <c r="L5" s="196"/>
    </row>
    <row r="6" spans="1:12" x14ac:dyDescent="0.4">
      <c r="A6" s="269"/>
      <c r="B6" s="108">
        <v>4</v>
      </c>
      <c r="C6">
        <v>20179</v>
      </c>
      <c r="D6" t="str">
        <f>VLOOKUP(C6,'Project Status'!C:H,6,FALSE)</f>
        <v>LAW SCHOOL</v>
      </c>
      <c r="E6" t="str">
        <f>VLOOKUP(C6,'Project Status'!C:I,7,FALSE)</f>
        <v>Law School - Fire Alarm System Replacement</v>
      </c>
      <c r="F6" t="s">
        <v>233</v>
      </c>
      <c r="G6" t="str">
        <f>VLOOKUP(C6,'Project Status'!C:K,9,FALSE)</f>
        <v>Bob Grummon</v>
      </c>
      <c r="H6" s="268"/>
      <c r="I6" s="21">
        <f>VLOOKUP(C6,'Project Status'!C:R,16,FALSE)</f>
        <v>722694.5</v>
      </c>
      <c r="K6" s="173">
        <f t="shared" si="0"/>
        <v>722694.5</v>
      </c>
      <c r="L6" s="196"/>
    </row>
    <row r="7" spans="1:12" x14ac:dyDescent="0.4">
      <c r="A7" s="269"/>
      <c r="B7" s="108">
        <v>5</v>
      </c>
      <c r="C7">
        <v>20336</v>
      </c>
      <c r="D7" t="str">
        <f>VLOOKUP(C7,'Project Status'!C:H,6,FALSE)</f>
        <v>BLAIR SCHOOL OF MUSIC</v>
      </c>
      <c r="E7" t="str">
        <f>VLOOKUP(C7,'Project Status'!C:I,7,FALSE)</f>
        <v>Blair School of Music - Elevator #3 Modernization</v>
      </c>
      <c r="F7" t="s">
        <v>101</v>
      </c>
      <c r="G7" t="str">
        <f>VLOOKUP(C7,'Project Status'!C:K,9,FALSE)</f>
        <v>Ben Bedock</v>
      </c>
      <c r="H7" s="268"/>
      <c r="I7" s="21">
        <f>VLOOKUP(C7,'Project Status'!C:R,16,FALSE)</f>
        <v>327890</v>
      </c>
      <c r="K7" s="173">
        <f t="shared" si="0"/>
        <v>327890</v>
      </c>
      <c r="L7" s="196"/>
    </row>
    <row r="8" spans="1:12" x14ac:dyDescent="0.4">
      <c r="A8" s="269"/>
      <c r="B8" s="108">
        <v>6</v>
      </c>
      <c r="C8">
        <v>20431</v>
      </c>
      <c r="D8" t="str">
        <f>VLOOKUP(C8,'Project Status'!C:H,6,FALSE)</f>
        <v>DIVINITY</v>
      </c>
      <c r="E8" t="str">
        <f>VLOOKUP(C8,'Project Status'!C:I,7,FALSE)</f>
        <v>Divinity Air Handling Unit Replacement, (5/6)- Phase 1</v>
      </c>
      <c r="F8" t="s">
        <v>101</v>
      </c>
      <c r="G8" t="str">
        <f>VLOOKUP(C8,'Project Status'!C:K,9,FALSE)</f>
        <v>Hans Mooy</v>
      </c>
      <c r="H8" s="268"/>
      <c r="I8" s="21">
        <f>VLOOKUP(C8,'Project Status'!C:R,16,FALSE)</f>
        <v>69862.5</v>
      </c>
      <c r="K8" s="173">
        <f t="shared" si="0"/>
        <v>69862.5</v>
      </c>
      <c r="L8" s="196"/>
    </row>
    <row r="9" spans="1:12" x14ac:dyDescent="0.4">
      <c r="A9" s="269"/>
      <c r="B9" s="108">
        <v>7</v>
      </c>
      <c r="C9">
        <v>20478</v>
      </c>
      <c r="D9" t="str">
        <f>VLOOKUP(C9,'Project Status'!C:H,6,FALSE)</f>
        <v>BRYAN BLDG</v>
      </c>
      <c r="E9" t="str">
        <f>VLOOKUP(C9,'Project Status'!C:I,7,FALSE)</f>
        <v>Bryan Building - Swing Space Renovation - A&amp;S Planning</v>
      </c>
      <c r="F9" t="s">
        <v>224</v>
      </c>
      <c r="G9" t="str">
        <f>VLOOKUP(C9,'Project Status'!C:K,9,FALSE)</f>
        <v>Cathy Bartlett</v>
      </c>
      <c r="H9" s="268"/>
      <c r="I9" s="21">
        <f>VLOOKUP(C9,'Project Status'!C:R,16,FALSE)</f>
        <v>81100</v>
      </c>
      <c r="K9" s="173">
        <f t="shared" si="0"/>
        <v>81100</v>
      </c>
      <c r="L9" s="196"/>
    </row>
    <row r="10" spans="1:12" x14ac:dyDescent="0.4">
      <c r="A10" s="269"/>
      <c r="B10" s="108">
        <v>8</v>
      </c>
      <c r="C10">
        <v>20489</v>
      </c>
      <c r="D10" t="str">
        <f>VLOOKUP(C10,'Project Status'!C:H,6,FALSE)</f>
        <v>DIVINITY</v>
      </c>
      <c r="E10" t="str">
        <f>VLOOKUP(C10,'Project Status'!C:I,7,FALSE)</f>
        <v>Divinity Air Handling Unit Replacement,(1/3) - Phase 2 with Benton - FY26</v>
      </c>
      <c r="F10" t="s">
        <v>100</v>
      </c>
      <c r="G10" t="str">
        <f>VLOOKUP(C10,'Project Status'!C:K,9,FALSE)</f>
        <v>Hans Mooy</v>
      </c>
      <c r="H10" s="268"/>
      <c r="I10" s="21">
        <f>VLOOKUP(C10,'Project Status'!C:R,16,FALSE)</f>
        <v>26500</v>
      </c>
      <c r="K10" s="173">
        <f t="shared" si="0"/>
        <v>26500</v>
      </c>
      <c r="L10" s="196"/>
    </row>
    <row r="11" spans="1:12" x14ac:dyDescent="0.4">
      <c r="A11" s="269"/>
      <c r="B11" s="108">
        <v>9</v>
      </c>
      <c r="C11">
        <v>20497</v>
      </c>
      <c r="D11" t="str">
        <f>VLOOKUP(C11,'Project Status'!C:H,6,FALSE)</f>
        <v>JESUP PSYCHOLOGY</v>
      </c>
      <c r="E11" t="str">
        <f>VLOOKUP(C11,'Project Status'!C:I,7,FALSE)</f>
        <v>Jesup - Roof Replacement</v>
      </c>
      <c r="F11" t="s">
        <v>101</v>
      </c>
      <c r="G11" t="str">
        <f>VLOOKUP(C11,'Project Status'!C:K,9,FALSE)</f>
        <v>Ben Bedock</v>
      </c>
      <c r="H11" s="268"/>
      <c r="I11" s="21">
        <f>VLOOKUP(C11,'Project Status'!C:R,16,FALSE)</f>
        <v>79415.5</v>
      </c>
      <c r="K11" s="173">
        <f t="shared" si="0"/>
        <v>79415.5</v>
      </c>
      <c r="L11" s="196"/>
    </row>
    <row r="12" spans="1:12" x14ac:dyDescent="0.4">
      <c r="A12" s="269"/>
      <c r="B12" s="108">
        <v>10</v>
      </c>
      <c r="C12">
        <v>20506</v>
      </c>
      <c r="D12" t="str">
        <f>VLOOKUP(C12,'Project Status'!C:H,6,FALSE)</f>
        <v>WYATT CENTER</v>
      </c>
      <c r="E12" t="str">
        <f>VLOOKUP(C12,'Project Status'!C:I,7,FALSE)</f>
        <v>Wyatt Center - Window Replacement</v>
      </c>
      <c r="F12" t="s">
        <v>101</v>
      </c>
      <c r="G12" t="str">
        <f>VLOOKUP(C12,'Project Status'!C:K,9,FALSE)</f>
        <v>Ben Bedock</v>
      </c>
      <c r="H12" s="268"/>
      <c r="I12" s="21">
        <f>VLOOKUP(C12,'Project Status'!C:R,16,FALSE)</f>
        <v>344155.26</v>
      </c>
      <c r="K12" s="173">
        <f t="shared" si="0"/>
        <v>344155.26</v>
      </c>
      <c r="L12" s="196"/>
    </row>
    <row r="13" spans="1:12" x14ac:dyDescent="0.4">
      <c r="A13" s="269"/>
      <c r="B13" s="108">
        <v>11</v>
      </c>
      <c r="C13">
        <v>20562</v>
      </c>
      <c r="D13" t="str">
        <f>VLOOKUP(C13,'Project Status'!C:H,6,FALSE)</f>
        <v>WYATT CENTER</v>
      </c>
      <c r="E13" t="str">
        <f>VLOOKUP(C13,'Project Status'!C:I,7,FALSE)</f>
        <v>Wyatt Center - VAV Replacement</v>
      </c>
      <c r="F13" t="s">
        <v>101</v>
      </c>
      <c r="G13" t="str">
        <f>VLOOKUP(C13,'Project Status'!C:K,9,FALSE)</f>
        <v>Sean Rewers</v>
      </c>
      <c r="H13" s="268"/>
      <c r="I13" s="21">
        <f>VLOOKUP(C13,'Project Status'!C:R,16,FALSE)</f>
        <v>405791</v>
      </c>
      <c r="K13" s="173">
        <f t="shared" si="0"/>
        <v>405791</v>
      </c>
      <c r="L13" s="196"/>
    </row>
    <row r="14" spans="1:12" x14ac:dyDescent="0.4">
      <c r="A14" s="269"/>
      <c r="B14" s="108">
        <v>12</v>
      </c>
      <c r="C14">
        <v>20566</v>
      </c>
      <c r="D14" t="str">
        <f>VLOOKUP(C14,'Project Status'!C:H,6,FALSE)</f>
        <v>SC CHEMISTRY</v>
      </c>
      <c r="E14" t="str">
        <f>VLOOKUP(C14,'Project Status'!C:I,7,FALSE)</f>
        <v>SC Chemistry (SC7) - Elevator 1 &amp; 2 Modernization</v>
      </c>
      <c r="F14" t="s">
        <v>101</v>
      </c>
      <c r="G14" t="str">
        <f>VLOOKUP(C14,'Project Status'!C:K,9,FALSE)</f>
        <v>Ben Bedock</v>
      </c>
      <c r="H14" s="268"/>
      <c r="I14" s="21">
        <f>VLOOKUP(C14,'Project Status'!C:R,16,FALSE)</f>
        <v>781870</v>
      </c>
      <c r="K14" s="173">
        <f t="shared" si="0"/>
        <v>781870</v>
      </c>
      <c r="L14" s="196"/>
    </row>
    <row r="15" spans="1:12" x14ac:dyDescent="0.4">
      <c r="A15" s="269"/>
      <c r="B15" s="108">
        <v>13</v>
      </c>
      <c r="C15">
        <v>20573</v>
      </c>
      <c r="D15" t="str">
        <f>VLOOKUP(C15,'Project Status'!C:H,6,FALSE)</f>
        <v>WYATT CENTER</v>
      </c>
      <c r="E15" t="str">
        <f>VLOOKUP(C15,'Project Status'!C:I,7,FALSE)</f>
        <v>Wyatt Center - Roof Replacement</v>
      </c>
      <c r="F15" t="s">
        <v>101</v>
      </c>
      <c r="G15" t="str">
        <f>VLOOKUP(C15,'Project Status'!C:K,9,FALSE)</f>
        <v>Ben Bedock</v>
      </c>
      <c r="H15" s="268"/>
      <c r="I15" s="21">
        <f>VLOOKUP(C15,'Project Status'!C:R,16,FALSE)</f>
        <v>1232681</v>
      </c>
      <c r="K15" s="173">
        <f t="shared" si="0"/>
        <v>1232681</v>
      </c>
      <c r="L15" s="196"/>
    </row>
    <row r="16" spans="1:12" x14ac:dyDescent="0.4">
      <c r="A16" s="269"/>
      <c r="B16" s="108">
        <v>14</v>
      </c>
      <c r="C16">
        <v>20574</v>
      </c>
      <c r="D16" t="str">
        <f>VLOOKUP(C16,'Project Status'!C:H,6,FALSE)</f>
        <v>MRB III BIO/SCI</v>
      </c>
      <c r="E16" t="str">
        <f>VLOOKUP(C16,'Project Status'!C:I,7,FALSE)</f>
        <v>MRB III - Steam Coil Replacement</v>
      </c>
      <c r="F16" t="s">
        <v>101</v>
      </c>
      <c r="G16" t="str">
        <f>VLOOKUP(C16,'Project Status'!C:K,9,FALSE)</f>
        <v>Sean Rewers</v>
      </c>
      <c r="H16" s="268"/>
      <c r="I16" s="21">
        <f>VLOOKUP(C16,'Project Status'!C:R,16,FALSE)</f>
        <v>218202</v>
      </c>
      <c r="K16" s="173">
        <f t="shared" si="0"/>
        <v>218202</v>
      </c>
      <c r="L16" s="196"/>
    </row>
    <row r="17" spans="1:12" x14ac:dyDescent="0.4">
      <c r="A17" s="269"/>
      <c r="B17" s="108">
        <v>15</v>
      </c>
      <c r="C17">
        <v>20577</v>
      </c>
      <c r="D17" t="str">
        <f>VLOOKUP(C17,'Project Status'!C:H,6,FALSE)</f>
        <v>BLAIR SCHOOL OF MUSIC</v>
      </c>
      <c r="E17" t="str">
        <f>VLOOKUP(C17,'Project Status'!C:I,7,FALSE)</f>
        <v>Blair School of Music - AHU - 1 Replacement -Phase 1 - FY25</v>
      </c>
      <c r="F17" t="s">
        <v>100</v>
      </c>
      <c r="G17" t="str">
        <f>VLOOKUP(C17,'Project Status'!C:K,9,FALSE)</f>
        <v>Hans Mooy</v>
      </c>
      <c r="H17" s="268"/>
      <c r="I17" s="21">
        <f>VLOOKUP(C17,'Project Status'!C:R,16,FALSE)</f>
        <v>223000</v>
      </c>
      <c r="K17" s="173">
        <f t="shared" si="0"/>
        <v>223000</v>
      </c>
      <c r="L17" s="196"/>
    </row>
    <row r="18" spans="1:12" x14ac:dyDescent="0.4">
      <c r="A18" s="269"/>
      <c r="B18" s="108">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68"/>
      <c r="I18" s="21">
        <f>VLOOKUP(C18,'Project Status'!C:R,16,FALSE)</f>
        <v>630554</v>
      </c>
      <c r="K18" s="173">
        <f t="shared" si="0"/>
        <v>630554</v>
      </c>
      <c r="L18" s="196"/>
    </row>
    <row r="19" spans="1:12" x14ac:dyDescent="0.4">
      <c r="A19" s="269"/>
      <c r="B19" s="108">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68"/>
      <c r="I19" s="21">
        <f>VLOOKUP(C19,'Project Status'!C:R,16,FALSE)</f>
        <v>125875</v>
      </c>
      <c r="K19" s="173">
        <f t="shared" si="0"/>
        <v>125875</v>
      </c>
      <c r="L19" s="196"/>
    </row>
    <row r="20" spans="1:12" x14ac:dyDescent="0.4">
      <c r="A20" s="269"/>
      <c r="B20" s="108">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68"/>
      <c r="I20" s="21">
        <f>VLOOKUP(C20,'Project Status'!C:R,16,FALSE)</f>
        <v>146500</v>
      </c>
      <c r="K20" s="173">
        <f t="shared" si="0"/>
        <v>146500</v>
      </c>
      <c r="L20" s="196"/>
    </row>
    <row r="21" spans="1:12" x14ac:dyDescent="0.4">
      <c r="A21" s="269"/>
      <c r="B21" s="108">
        <v>19</v>
      </c>
      <c r="C21">
        <v>20668</v>
      </c>
      <c r="D21" t="str">
        <f>VLOOKUP(C21,'Project Status'!C:H,6,FALSE)</f>
        <v>KECK FREE ELECTRON LASER CTR</v>
      </c>
      <c r="E21" t="str">
        <f>VLOOKUP(C21,'Project Status'!C:I,7,FALSE)</f>
        <v>Keck FEL - Mechanical Upgrades</v>
      </c>
      <c r="F21" t="s">
        <v>100</v>
      </c>
      <c r="G21" t="str">
        <f>VLOOKUP(C21,'Project Status'!C:K,9,FALSE)</f>
        <v>Sean Rewers</v>
      </c>
      <c r="H21" s="268"/>
      <c r="I21" s="21">
        <f>VLOOKUP(C21,'Project Status'!C:R,16,FALSE)</f>
        <v>206500</v>
      </c>
      <c r="K21" s="173">
        <f t="shared" si="0"/>
        <v>206500</v>
      </c>
      <c r="L21" s="196"/>
    </row>
    <row r="22" spans="1:12" x14ac:dyDescent="0.4">
      <c r="A22" s="269"/>
      <c r="B22" s="108">
        <v>20</v>
      </c>
      <c r="C22">
        <v>20698</v>
      </c>
      <c r="D22" t="str">
        <f>VLOOKUP(C22,'Project Status'!C:H,6,FALSE)</f>
        <v>WILSON HALL</v>
      </c>
      <c r="E22" t="str">
        <f>VLOOKUP(C22,'Project Status'!C:I,7,FALSE)</f>
        <v>Wilson Hall - Fire Alarm Replacement</v>
      </c>
      <c r="F22" t="s">
        <v>100</v>
      </c>
      <c r="G22" t="str">
        <f>VLOOKUP(C22,'Project Status'!C:K,9,FALSE)</f>
        <v>Sean Rewers</v>
      </c>
      <c r="H22" s="268"/>
      <c r="I22" s="21">
        <f>VLOOKUP(C22,'Project Status'!C:R,16,FALSE)</f>
        <v>29250</v>
      </c>
      <c r="K22" s="173">
        <f t="shared" si="0"/>
        <v>29250</v>
      </c>
      <c r="L22" s="196"/>
    </row>
    <row r="23" spans="1:12" x14ac:dyDescent="0.4">
      <c r="A23" s="269"/>
      <c r="B23" s="108">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68"/>
      <c r="I23" s="21">
        <f>VLOOKUP(C23,'Project Status'!C:R,16,FALSE)</f>
        <v>79623</v>
      </c>
      <c r="K23" s="173">
        <f t="shared" si="0"/>
        <v>79623</v>
      </c>
      <c r="L23" s="196"/>
    </row>
    <row r="24" spans="1:12" x14ac:dyDescent="0.4">
      <c r="A24" s="269"/>
      <c r="B24" s="108">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68"/>
      <c r="I24" s="21">
        <f>VLOOKUP(C24,'Project Status'!C:R,16,FALSE)</f>
        <v>499093</v>
      </c>
      <c r="K24" s="173">
        <f t="shared" si="0"/>
        <v>499093</v>
      </c>
      <c r="L24" s="196"/>
    </row>
    <row r="25" spans="1:12" x14ac:dyDescent="0.4">
      <c r="A25" s="269"/>
      <c r="B25" s="108">
        <v>23</v>
      </c>
      <c r="C25">
        <v>20702</v>
      </c>
      <c r="D25" t="str">
        <f>VLOOKUP(C25,'Project Status'!C:H,6,FALSE)</f>
        <v>WYATT CENTER</v>
      </c>
      <c r="E25" t="str">
        <f>VLOOKUP(C25,'Project Status'!C:I,7,FALSE)</f>
        <v>Wyatt Center - Elevator #2 Modernization</v>
      </c>
      <c r="F25" t="s">
        <v>101</v>
      </c>
      <c r="G25" t="str">
        <f>VLOOKUP(C25,'Project Status'!C:K,9,FALSE)</f>
        <v>Ben Bedock</v>
      </c>
      <c r="H25" s="268"/>
      <c r="I25" s="21">
        <f>VLOOKUP(C25,'Project Status'!C:R,16,FALSE)</f>
        <v>239341</v>
      </c>
      <c r="K25" s="173">
        <f t="shared" si="0"/>
        <v>239341</v>
      </c>
      <c r="L25" s="196"/>
    </row>
    <row r="26" spans="1:12" x14ac:dyDescent="0.4">
      <c r="A26" s="269"/>
      <c r="B26" s="108">
        <v>24</v>
      </c>
      <c r="C26">
        <v>20718</v>
      </c>
      <c r="D26" t="str">
        <f>VLOOKUP(C26,'Project Status'!C:H,6,FALSE)</f>
        <v>BUTTRICK HALL</v>
      </c>
      <c r="E26" t="str">
        <f>VLOOKUP(C26,'Project Status'!C:I,7,FALSE)</f>
        <v>Buttrick Hall - 3rd Floor Inequality Renovations</v>
      </c>
      <c r="F26" t="s">
        <v>101</v>
      </c>
      <c r="G26" t="str">
        <f>VLOOKUP(C26,'Project Status'!C:K,9,FALSE)</f>
        <v>Erin Fry</v>
      </c>
      <c r="H26" s="268"/>
      <c r="I26" s="21">
        <f>VLOOKUP(C26,'Project Status'!C:R,16,FALSE)</f>
        <v>96166</v>
      </c>
      <c r="K26" s="173">
        <f t="shared" si="0"/>
        <v>96166</v>
      </c>
      <c r="L26" s="196"/>
    </row>
    <row r="27" spans="1:12" x14ac:dyDescent="0.4">
      <c r="A27" s="269"/>
      <c r="B27" s="108">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68"/>
      <c r="I27" s="21">
        <f>VLOOKUP(C27,'Project Status'!C:R,16,FALSE)</f>
        <v>160500</v>
      </c>
      <c r="K27" s="173">
        <f t="shared" si="0"/>
        <v>160500</v>
      </c>
      <c r="L27" s="196"/>
    </row>
    <row r="28" spans="1:12" x14ac:dyDescent="0.4">
      <c r="A28" s="269"/>
      <c r="B28" s="108">
        <v>26</v>
      </c>
      <c r="C28">
        <v>20724</v>
      </c>
      <c r="D28" t="str">
        <f>VLOOKUP(C28,'Project Status'!C:H,6,FALSE)</f>
        <v>BLAIR SCHOOL OF MUSIC</v>
      </c>
      <c r="E28" t="str">
        <f>VLOOKUP(C28,'Project Status'!C:I,7,FALSE)</f>
        <v>Blair School of Music - Steam Line - FY 23</v>
      </c>
      <c r="F28" t="s">
        <v>100</v>
      </c>
      <c r="G28" t="str">
        <f>VLOOKUP(C28,'Project Status'!C:K,9,FALSE)</f>
        <v>Hans Mooy</v>
      </c>
      <c r="H28" s="268"/>
      <c r="I28" s="21">
        <f>VLOOKUP(C28,'Project Status'!C:R,16,FALSE)</f>
        <v>23400</v>
      </c>
      <c r="K28" s="173">
        <f t="shared" si="0"/>
        <v>23400</v>
      </c>
      <c r="L28" s="196"/>
    </row>
    <row r="29" spans="1:12" x14ac:dyDescent="0.4">
      <c r="A29" s="269"/>
      <c r="B29" s="108">
        <v>27</v>
      </c>
      <c r="C29">
        <v>20735</v>
      </c>
      <c r="D29" t="str">
        <f>VLOOKUP(C29,'Project Status'!C:H,6,FALSE)</f>
        <v>OWEN GRAD MGMT</v>
      </c>
      <c r="E29" t="str">
        <f>VLOOKUP(C29,'Project Status'!C:I,7,FALSE)</f>
        <v>Owen - Roof Replacement (Third Level)</v>
      </c>
      <c r="F29" t="s">
        <v>101</v>
      </c>
      <c r="G29" t="str">
        <f>VLOOKUP(C29,'Project Status'!C:K,9,FALSE)</f>
        <v>Ben Bedock</v>
      </c>
      <c r="H29" s="268"/>
      <c r="I29" s="21">
        <f>VLOOKUP(C29,'Project Status'!C:R,16,FALSE)</f>
        <v>300000</v>
      </c>
      <c r="K29" s="173">
        <f t="shared" si="0"/>
        <v>300000</v>
      </c>
      <c r="L29" s="196"/>
    </row>
    <row r="30" spans="1:12" x14ac:dyDescent="0.4">
      <c r="A30" s="269"/>
      <c r="B30" s="108">
        <v>28</v>
      </c>
      <c r="C30">
        <v>20771</v>
      </c>
      <c r="D30" t="str">
        <f>VLOOKUP(C30,'Project Status'!C:H,6,FALSE)</f>
        <v>SC CHEMISTRY</v>
      </c>
      <c r="E30" t="str">
        <f>VLOOKUP(C30,'Project Status'!C:I,7,FALSE)</f>
        <v>SC4 - Interstitial Space HVAC Modifications</v>
      </c>
      <c r="F30" t="s">
        <v>101</v>
      </c>
      <c r="G30" t="str">
        <f>VLOOKUP(C30,'Project Status'!C:K,9,FALSE)</f>
        <v>Sean Rewers</v>
      </c>
      <c r="H30" s="268"/>
      <c r="I30" s="21">
        <f>VLOOKUP(C30,'Project Status'!C:R,16,FALSE)</f>
        <v>24997</v>
      </c>
      <c r="K30" s="173">
        <f t="shared" si="0"/>
        <v>24997</v>
      </c>
      <c r="L30" s="196"/>
    </row>
    <row r="31" spans="1:12" x14ac:dyDescent="0.4">
      <c r="A31" s="269"/>
      <c r="B31" s="108">
        <v>29</v>
      </c>
      <c r="C31">
        <v>20792</v>
      </c>
      <c r="D31" t="str">
        <f>VLOOKUP(C31,'Project Status'!C:H,6,FALSE)</f>
        <v>LAW SCHOOL</v>
      </c>
      <c r="E31" t="str">
        <f>VLOOKUP(C31,'Project Status'!C:I,7,FALSE)</f>
        <v>Law School - Sections 1, 2, &amp; 3  Roof Replacement</v>
      </c>
      <c r="F31" t="s">
        <v>178</v>
      </c>
      <c r="G31" t="str">
        <f>VLOOKUP(C31,'Project Status'!C:K,9,FALSE)</f>
        <v>Ben Bedock</v>
      </c>
      <c r="H31" s="268"/>
      <c r="I31" s="21">
        <f>VLOOKUP(C31,'Project Status'!C:R,16,FALSE)</f>
        <v>483440</v>
      </c>
      <c r="K31" s="173">
        <f t="shared" si="0"/>
        <v>483440</v>
      </c>
      <c r="L31" s="196"/>
    </row>
    <row r="32" spans="1:12" x14ac:dyDescent="0.4">
      <c r="H32" s="268"/>
      <c r="I32" s="176">
        <f t="shared" ref="I32:J32" si="1">SUM(I3:I31)</f>
        <v>8797286.2599999998</v>
      </c>
      <c r="J32" s="176">
        <f t="shared" si="1"/>
        <v>0</v>
      </c>
      <c r="K32" s="176">
        <f>SUM(K3:K31)</f>
        <v>8797286.2599999998</v>
      </c>
      <c r="L32" s="176">
        <f>H3-K32</f>
        <v>567212.74000000022</v>
      </c>
    </row>
    <row r="34" spans="1:14" x14ac:dyDescent="0.4">
      <c r="A34" s="270" t="s">
        <v>292</v>
      </c>
      <c r="B34" s="177"/>
      <c r="C34" s="177" t="s">
        <v>125</v>
      </c>
      <c r="D34" s="177" t="s">
        <v>114</v>
      </c>
      <c r="E34" s="177" t="s">
        <v>87</v>
      </c>
      <c r="F34" s="262" t="s">
        <v>128</v>
      </c>
      <c r="G34" s="262" t="s">
        <v>129</v>
      </c>
      <c r="H34" s="186" t="s">
        <v>293</v>
      </c>
      <c r="I34" s="178" t="s">
        <v>255</v>
      </c>
      <c r="J34" s="178" t="s">
        <v>291</v>
      </c>
      <c r="K34" s="190" t="s">
        <v>290</v>
      </c>
      <c r="L34" s="189" t="s">
        <v>256</v>
      </c>
    </row>
    <row r="35" spans="1:14" ht="14.7" customHeight="1" x14ac:dyDescent="0.4">
      <c r="A35" s="270"/>
      <c r="B35" s="108">
        <v>1</v>
      </c>
      <c r="C35">
        <v>10146</v>
      </c>
      <c r="D35" t="str">
        <f>VLOOKUP(C35,'Project Status'!C:H,6,FALSE)</f>
        <v>GODCHAUX HALL</v>
      </c>
      <c r="E35" s="3" t="str">
        <f>VLOOKUP(C35,'Project Status'!C:I,7,FALSE)</f>
        <v>Godchaux Hall - HVAC Upgrade</v>
      </c>
      <c r="F35" s="3" t="str">
        <f>VLOOKUP(C35,'Project Status'!C:J,8,FALSE)</f>
        <v>Award</v>
      </c>
      <c r="G35" s="3" t="str">
        <f>VLOOKUP(C35,'Project Status'!C:K,9,FALSE)</f>
        <v>Sean Rewers</v>
      </c>
      <c r="H35" s="272">
        <f>Contributions!G14</f>
        <v>11029283.289999999</v>
      </c>
      <c r="I35" s="242">
        <f>VLOOKUP(C35,'Project Status'!C:S,17,FALSE)</f>
        <v>255957</v>
      </c>
      <c r="J35" s="218">
        <f>VLOOKUP(C35,'Project Status'!C:T,18,FALSE)</f>
        <v>0</v>
      </c>
      <c r="K35" s="181">
        <f>IF(J35="TBD",J35,SUM(I35:J35))</f>
        <v>255957</v>
      </c>
      <c r="L35" s="195"/>
      <c r="M35" s="20" t="s">
        <v>366</v>
      </c>
    </row>
    <row r="36" spans="1:14" x14ac:dyDescent="0.4">
      <c r="A36" s="270"/>
      <c r="B36" s="108">
        <v>2</v>
      </c>
      <c r="C36">
        <v>20431</v>
      </c>
      <c r="D36" t="str">
        <f>VLOOKUP(C36,'Project Status'!C:H,6,FALSE)</f>
        <v>DIVINITY</v>
      </c>
      <c r="E36" s="3" t="str">
        <f>VLOOKUP(C36,'Project Status'!C:I,7,FALSE)</f>
        <v>Divinity Air Handling Unit Replacement, (5/6)- Phase 1</v>
      </c>
      <c r="F36" s="3" t="str">
        <f>VLOOKUP(C36,'Project Status'!C:J,8,FALSE)</f>
        <v>Construction</v>
      </c>
      <c r="G36" s="3" t="str">
        <f>VLOOKUP(C36,'Project Status'!C:K,9,FALSE)</f>
        <v>Hans Mooy</v>
      </c>
      <c r="H36" s="272"/>
      <c r="I36" s="242">
        <f>VLOOKUP(C36,'Project Status'!C:S,17,FALSE)</f>
        <v>3660360</v>
      </c>
      <c r="J36" s="218">
        <f>VLOOKUP(C36,'Project Status'!C:T,18,FALSE)</f>
        <v>0</v>
      </c>
      <c r="K36" s="181">
        <f t="shared" ref="K36:K55" si="2">IF(J36="TBD",J36,SUM(I36:J36))</f>
        <v>3660360</v>
      </c>
      <c r="L36" s="195"/>
    </row>
    <row r="37" spans="1:14" x14ac:dyDescent="0.4">
      <c r="A37" s="270"/>
      <c r="B37" s="108">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72"/>
      <c r="I37" s="242">
        <f>VLOOKUP(C37,'Project Status'!C:S,17,FALSE)</f>
        <v>1028900</v>
      </c>
      <c r="J37" s="218">
        <f>VLOOKUP(C37,'Project Status'!C:T,18,FALSE)</f>
        <v>0</v>
      </c>
      <c r="K37" s="181">
        <f t="shared" si="2"/>
        <v>1028900</v>
      </c>
      <c r="L37" s="195"/>
    </row>
    <row r="38" spans="1:14" x14ac:dyDescent="0.4">
      <c r="A38" s="270"/>
      <c r="B38" s="108">
        <v>4</v>
      </c>
      <c r="C38">
        <v>20667</v>
      </c>
      <c r="D38" t="str">
        <f>VLOOKUP(C38,'Project Status'!C:H,6,FALSE)</f>
        <v>1025 16TH AVE S</v>
      </c>
      <c r="E38" s="3" t="str">
        <f>VLOOKUP(C38,'Project Status'!C:I,7,FALSE)</f>
        <v>1025 16th Avenue - Mechanical and Electrical Upgrades</v>
      </c>
      <c r="F38" s="3" t="str">
        <f>VLOOKUP(C38,'Project Status'!C:J,8,FALSE)</f>
        <v>Design</v>
      </c>
      <c r="G38" s="3" t="str">
        <f>VLOOKUP(C38,'Project Status'!C:K,9,FALSE)</f>
        <v>Sean Rewers</v>
      </c>
      <c r="H38" s="272"/>
      <c r="I38" s="242">
        <f>VLOOKUP(C38,'Project Status'!C:S,17,FALSE)</f>
        <v>0</v>
      </c>
      <c r="J38" s="265">
        <f>VLOOKUP(C38,'Project Status'!C:T,18,FALSE)</f>
        <v>2000000</v>
      </c>
      <c r="K38" s="181">
        <f t="shared" si="2"/>
        <v>2000000</v>
      </c>
      <c r="L38" s="195"/>
    </row>
    <row r="39" spans="1:14" x14ac:dyDescent="0.4">
      <c r="A39" s="270"/>
      <c r="B39" s="108">
        <v>5</v>
      </c>
      <c r="C39">
        <v>20668</v>
      </c>
      <c r="D39" t="str">
        <f>VLOOKUP(C39,'Project Status'!C:H,6,FALSE)</f>
        <v>KECK FREE ELECTRON LASER CTR</v>
      </c>
      <c r="E39" s="3" t="str">
        <f>VLOOKUP(C39,'Project Status'!C:I,7,FALSE)</f>
        <v>Keck FEL - Mechanical Upgrades</v>
      </c>
      <c r="F39" s="3" t="str">
        <f>VLOOKUP(C39,'Project Status'!C:J,8,FALSE)</f>
        <v>Design</v>
      </c>
      <c r="G39" s="3" t="str">
        <f>VLOOKUP(C39,'Project Status'!C:K,9,FALSE)</f>
        <v>Sean Rewers</v>
      </c>
      <c r="H39" s="272"/>
      <c r="I39" s="242">
        <f>VLOOKUP(C39,'Project Status'!C:S,17,FALSE)</f>
        <v>24933</v>
      </c>
      <c r="J39" s="218">
        <f>VLOOKUP(C39,'Project Status'!C:T,18,FALSE)</f>
        <v>0</v>
      </c>
      <c r="K39" s="181">
        <f t="shared" si="2"/>
        <v>24933</v>
      </c>
      <c r="L39" s="195"/>
    </row>
    <row r="40" spans="1:14" x14ac:dyDescent="0.4">
      <c r="A40" s="270"/>
      <c r="B40" s="108">
        <v>6</v>
      </c>
      <c r="C40">
        <v>20698</v>
      </c>
      <c r="D40" t="str">
        <f>VLOOKUP(C40,'Project Status'!C:H,6,FALSE)</f>
        <v>WILSON HALL</v>
      </c>
      <c r="E40" s="3" t="str">
        <f>VLOOKUP(C40,'Project Status'!C:I,7,FALSE)</f>
        <v>Wilson Hall - Fire Alarm Replacement</v>
      </c>
      <c r="F40" s="3" t="str">
        <f>VLOOKUP(C40,'Project Status'!C:J,8,FALSE)</f>
        <v>Award</v>
      </c>
      <c r="G40" s="3" t="str">
        <f>VLOOKUP(C40,'Project Status'!C:K,9,FALSE)</f>
        <v>Sean Rewers</v>
      </c>
      <c r="H40" s="272"/>
      <c r="I40" s="242">
        <f>VLOOKUP(C40,'Project Status'!C:S,17,FALSE)</f>
        <v>649263</v>
      </c>
      <c r="J40" s="218">
        <f>VLOOKUP(C40,'Project Status'!C:T,18,FALSE)</f>
        <v>0</v>
      </c>
      <c r="K40" s="181">
        <f t="shared" si="2"/>
        <v>649263</v>
      </c>
      <c r="L40" s="195"/>
    </row>
    <row r="41" spans="1:14" x14ac:dyDescent="0.4">
      <c r="A41" s="270"/>
      <c r="B41" s="108">
        <v>7</v>
      </c>
      <c r="C41">
        <v>20700</v>
      </c>
      <c r="D41" t="str">
        <f>VLOOKUP(C41,'Project Status'!C:H,6,FALSE)</f>
        <v>SC CHEMISTRY</v>
      </c>
      <c r="E41" s="3" t="str">
        <f>VLOOKUP(C41,'Project Status'!C:I,7,FALSE)</f>
        <v>SC-7 Chemistry - SG-1 Removal and Connection to Central Plant Steam</v>
      </c>
      <c r="F41" s="3" t="str">
        <f>VLOOKUP(C41,'Project Status'!C:J,8,FALSE)</f>
        <v>Finalized</v>
      </c>
      <c r="G41" s="3" t="str">
        <f>VLOOKUP(C41,'Project Status'!C:K,9,FALSE)</f>
        <v>Sean Rewers</v>
      </c>
      <c r="H41" s="272"/>
      <c r="I41" s="242">
        <f>VLOOKUP(C41,'Project Status'!C:S,17,FALSE)</f>
        <v>5954</v>
      </c>
      <c r="J41" s="218">
        <f>VLOOKUP(C41,'Project Status'!C:T,18,FALSE)</f>
        <v>0</v>
      </c>
      <c r="K41" s="181">
        <f t="shared" si="2"/>
        <v>5954</v>
      </c>
      <c r="L41" s="195"/>
    </row>
    <row r="42" spans="1:14" x14ac:dyDescent="0.4">
      <c r="A42" s="270"/>
      <c r="B42" s="108">
        <v>8</v>
      </c>
      <c r="C42">
        <v>20724</v>
      </c>
      <c r="D42" t="str">
        <f>VLOOKUP(C42,'Project Status'!C:H,6,FALSE)</f>
        <v>BLAIR SCHOOL OF MUSIC</v>
      </c>
      <c r="E42" s="3" t="str">
        <f>VLOOKUP(C42,'Project Status'!C:I,7,FALSE)</f>
        <v>Blair School of Music - Steam Line - FY 23</v>
      </c>
      <c r="F42" s="3" t="str">
        <f>VLOOKUP(C42,'Project Status'!C:J,8,FALSE)</f>
        <v>Construction</v>
      </c>
      <c r="G42" s="3" t="str">
        <f>VLOOKUP(C42,'Project Status'!C:K,9,FALSE)</f>
        <v>Hans Mooy</v>
      </c>
      <c r="H42" s="272"/>
      <c r="I42" s="242">
        <f>VLOOKUP(C42,'Project Status'!C:S,17,FALSE)</f>
        <v>1964100</v>
      </c>
      <c r="J42" s="218">
        <f>VLOOKUP(C42,'Project Status'!C:T,18,FALSE)</f>
        <v>0</v>
      </c>
      <c r="K42" s="181">
        <f t="shared" si="2"/>
        <v>1964100</v>
      </c>
      <c r="L42" s="195"/>
      <c r="N42" s="173"/>
    </row>
    <row r="43" spans="1:14" x14ac:dyDescent="0.4">
      <c r="A43" s="270"/>
      <c r="B43" s="108">
        <v>9</v>
      </c>
      <c r="C43">
        <v>20767</v>
      </c>
      <c r="D43" t="str">
        <f>VLOOKUP(C43,'Project Status'!C:H,6,FALSE)</f>
        <v>SIX MAGNOLIA CIRCLE</v>
      </c>
      <c r="E43" s="3" t="str">
        <f>VLOOKUP(C43,'Project Status'!C:I,7,FALSE)</f>
        <v>Six Magnolia Circle - Foundation Repairs</v>
      </c>
      <c r="F43" s="3" t="str">
        <f>VLOOKUP(C43,'Project Status'!C:J,8,FALSE)</f>
        <v>Award</v>
      </c>
      <c r="G43" s="3" t="str">
        <f>VLOOKUP(C43,'Project Status'!C:K,9,FALSE)</f>
        <v>Jay Surprenant</v>
      </c>
      <c r="H43" s="272"/>
      <c r="I43" s="242">
        <f>VLOOKUP(C43,'Project Status'!C:S,17,FALSE)</f>
        <v>148299</v>
      </c>
      <c r="J43" s="218">
        <f>VLOOKUP(C43,'Project Status'!C:T,18,FALSE)</f>
        <v>0</v>
      </c>
      <c r="K43" s="181">
        <f t="shared" si="2"/>
        <v>148299</v>
      </c>
      <c r="L43" s="195"/>
    </row>
    <row r="44" spans="1:14" x14ac:dyDescent="0.4">
      <c r="A44" s="270"/>
      <c r="B44" s="108">
        <v>10</v>
      </c>
      <c r="C44">
        <v>20831</v>
      </c>
      <c r="D44" t="str">
        <f>VLOOKUP(C44,'Project Status'!C:H,6,FALSE)</f>
        <v>SC PHYSICS &amp; ASTRONOMY</v>
      </c>
      <c r="E44" s="3" t="str">
        <f>VLOOKUP(C44,'Project Status'!C:I,7,FALSE)</f>
        <v>SC6 - HVAC Upgrades - Feasibility Study</v>
      </c>
      <c r="F44" s="3" t="str">
        <f>VLOOKUP(C44,'Project Status'!C:J,8,FALSE)</f>
        <v>Finalized</v>
      </c>
      <c r="G44" s="3" t="str">
        <f>VLOOKUP(C44,'Project Status'!C:K,9,FALSE)</f>
        <v>Sean Rewers</v>
      </c>
      <c r="H44" s="272"/>
      <c r="I44" s="242">
        <f>VLOOKUP(C44,'Project Status'!C:S,17,FALSE)</f>
        <v>24000</v>
      </c>
      <c r="J44" s="218">
        <f>VLOOKUP(C44,'Project Status'!C:T,18,FALSE)</f>
        <v>0</v>
      </c>
      <c r="K44" s="181">
        <f t="shared" si="2"/>
        <v>24000</v>
      </c>
      <c r="L44" s="195"/>
    </row>
    <row r="45" spans="1:14" x14ac:dyDescent="0.4">
      <c r="A45" s="270"/>
      <c r="B45" s="108">
        <v>11</v>
      </c>
      <c r="C45">
        <v>20832</v>
      </c>
      <c r="D45" t="str">
        <f>VLOOKUP(C45,'Project Status'!C:H,6,FALSE)</f>
        <v>WILSON HALL</v>
      </c>
      <c r="E45" s="3" t="str">
        <f>VLOOKUP(C45,'Project Status'!C:I,7,FALSE)</f>
        <v>Wilson Hall - HVAC Replacement</v>
      </c>
      <c r="F45" s="3" t="str">
        <f>VLOOKUP(C45,'Project Status'!C:J,8,FALSE)</f>
        <v>Finalized</v>
      </c>
      <c r="G45" s="3" t="str">
        <f>VLOOKUP(C45,'Project Status'!C:K,9,FALSE)</f>
        <v>Sean Rewers</v>
      </c>
      <c r="H45" s="272"/>
      <c r="I45" s="242">
        <f>VLOOKUP(C45,'Project Status'!C:S,17,FALSE)</f>
        <v>24000</v>
      </c>
      <c r="J45" s="218">
        <f>VLOOKUP(C45,'Project Status'!C:T,18,FALSE)</f>
        <v>0</v>
      </c>
      <c r="K45" s="181">
        <f t="shared" si="2"/>
        <v>24000</v>
      </c>
      <c r="L45" s="195"/>
    </row>
    <row r="46" spans="1:14" x14ac:dyDescent="0.4">
      <c r="A46" s="270"/>
      <c r="B46" s="108">
        <v>12</v>
      </c>
      <c r="C46">
        <v>20833</v>
      </c>
      <c r="D46" t="str">
        <f>VLOOKUP(C46,'Project Status'!C:H,6,FALSE)</f>
        <v>SC SCIENCE &amp; ENGINEERING</v>
      </c>
      <c r="E46" s="3" t="str">
        <f>VLOOKUP(C46,'Project Status'!C:I,7,FALSE)</f>
        <v>SC5 - HVAC Replacement</v>
      </c>
      <c r="F46" s="3" t="str">
        <f>VLOOKUP(C46,'Project Status'!C:J,8,FALSE)</f>
        <v>Warranty or Construction Closeout</v>
      </c>
      <c r="G46" s="3" t="str">
        <f>VLOOKUP(C46,'Project Status'!C:K,9,FALSE)</f>
        <v>Sean Rewers</v>
      </c>
      <c r="H46" s="272"/>
      <c r="I46" s="242">
        <f>VLOOKUP(C46,'Project Status'!C:S,17,FALSE)</f>
        <v>24000</v>
      </c>
      <c r="J46" s="218">
        <f>VLOOKUP(C46,'Project Status'!C:T,18,FALSE)</f>
        <v>0</v>
      </c>
      <c r="K46" s="181">
        <f t="shared" si="2"/>
        <v>24000</v>
      </c>
      <c r="L46" s="195"/>
    </row>
    <row r="47" spans="1:14" x14ac:dyDescent="0.4">
      <c r="A47" s="270"/>
      <c r="B47" s="108">
        <v>13</v>
      </c>
      <c r="C47">
        <v>20857</v>
      </c>
      <c r="D47" t="str">
        <f>VLOOKUP(C47,'Project Status'!C:H,6,FALSE)</f>
        <v>ONE MAGNOLIA CIRCLE</v>
      </c>
      <c r="E47" s="3" t="str">
        <f>VLOOKUP(C47,'Project Status'!C:I,7,FALSE)</f>
        <v>One Magnolia Circle - Elevator Modernization</v>
      </c>
      <c r="F47" s="3" t="str">
        <f>VLOOKUP(C47,'Project Status'!C:J,8,FALSE)</f>
        <v>Construction</v>
      </c>
      <c r="G47" s="3" t="str">
        <f>VLOOKUP(C47,'Project Status'!C:K,9,FALSE)</f>
        <v>Ben Bedock</v>
      </c>
      <c r="H47" s="272"/>
      <c r="I47" s="242">
        <f>VLOOKUP(C47,'Project Status'!C:S,17,FALSE)</f>
        <v>499184</v>
      </c>
      <c r="J47" s="218">
        <f>VLOOKUP(C47,'Project Status'!C:T,18,FALSE)</f>
        <v>0</v>
      </c>
      <c r="K47" s="181">
        <f t="shared" si="2"/>
        <v>499184</v>
      </c>
      <c r="L47" s="195"/>
    </row>
    <row r="48" spans="1:14" x14ac:dyDescent="0.4">
      <c r="A48" s="270"/>
      <c r="B48" s="108">
        <v>14</v>
      </c>
      <c r="C48">
        <v>20811</v>
      </c>
      <c r="D48" t="str">
        <f>VLOOKUP(C48,'Project Status'!C:H,6,FALSE)</f>
        <v>ONE MAGNOLIA CIRCLE</v>
      </c>
      <c r="E48" s="3" t="str">
        <f>VLOOKUP(C48,'Project Status'!C:I,7,FALSE)</f>
        <v>One Magnolia Circle - Retaining Wall Repair</v>
      </c>
      <c r="F48" s="3" t="str">
        <f>VLOOKUP(C48,'Project Status'!C:J,8,FALSE)</f>
        <v>Award</v>
      </c>
      <c r="G48" s="3" t="str">
        <f>VLOOKUP(C48,'Project Status'!C:K,9,FALSE)</f>
        <v>Ben Bedock</v>
      </c>
      <c r="H48" s="272"/>
      <c r="I48" s="242">
        <f>VLOOKUP(C48,'Project Status'!C:S,17,FALSE)</f>
        <v>0</v>
      </c>
      <c r="J48" s="218">
        <f>VLOOKUP(C48,'Project Status'!C:T,18,FALSE)</f>
        <v>285235</v>
      </c>
      <c r="K48" s="181">
        <f t="shared" ref="K48" si="3">IF(J48="TBD",J48,SUM(I48:J48))</f>
        <v>285235</v>
      </c>
      <c r="L48" s="195"/>
    </row>
    <row r="49" spans="1:14" x14ac:dyDescent="0.4">
      <c r="A49" s="270"/>
      <c r="B49" s="108">
        <v>15</v>
      </c>
      <c r="C49" s="243">
        <v>20884</v>
      </c>
      <c r="D49" t="str">
        <f>VLOOKUP(C49,'Project Status'!C:H,6,FALSE)</f>
        <v>LAW SCHOOL</v>
      </c>
      <c r="E49" s="3" t="str">
        <f>VLOOKUP(C49,'Project Status'!C:I,7,FALSE)</f>
        <v>Law School - Exterior Window Painting</v>
      </c>
      <c r="F49" s="3" t="str">
        <f>VLOOKUP(C49,'Project Status'!C:J,8,FALSE)</f>
        <v>Award</v>
      </c>
      <c r="G49" s="3" t="str">
        <f>VLOOKUP(C49,'Project Status'!C:K,9,FALSE)</f>
        <v>Ben Bedock</v>
      </c>
      <c r="H49" s="272"/>
      <c r="I49" s="242">
        <f>VLOOKUP(C49,'Project Status'!C:S,17,FALSE)</f>
        <v>0</v>
      </c>
      <c r="J49" s="218">
        <f>VLOOKUP(C49,'Project Status'!C:T,18,FALSE)</f>
        <v>675650</v>
      </c>
      <c r="K49" s="181">
        <f t="shared" si="2"/>
        <v>675650</v>
      </c>
      <c r="L49" s="195"/>
    </row>
    <row r="50" spans="1:14" x14ac:dyDescent="0.4">
      <c r="A50" s="270"/>
      <c r="B50" s="108">
        <v>16</v>
      </c>
      <c r="C50">
        <v>20885</v>
      </c>
      <c r="D50" t="str">
        <f>VLOOKUP(C50,'Project Status'!C:H,6,FALSE)</f>
        <v>BIOMOLECULAR NMR</v>
      </c>
      <c r="E50" s="3" t="str">
        <f>VLOOKUP(C50,'Project Status'!C:I,7,FALSE)</f>
        <v>NMR - Replace Air Compressors</v>
      </c>
      <c r="F50" s="3" t="str">
        <f>VLOOKUP(C50,'Project Status'!C:J,8,FALSE)</f>
        <v>Award</v>
      </c>
      <c r="G50" s="3" t="str">
        <f>VLOOKUP(C50,'Project Status'!C:K,9,FALSE)</f>
        <v>Sean Rewers</v>
      </c>
      <c r="H50" s="272"/>
      <c r="I50" s="242">
        <f>VLOOKUP(C50,'Project Status'!C:S,17,FALSE)</f>
        <v>98341</v>
      </c>
      <c r="J50" s="218">
        <f>VLOOKUP(C50,'Project Status'!C:T,18,FALSE)</f>
        <v>25000</v>
      </c>
      <c r="K50" s="181">
        <f t="shared" si="2"/>
        <v>123341</v>
      </c>
      <c r="L50" s="195"/>
    </row>
    <row r="51" spans="1:14" x14ac:dyDescent="0.4">
      <c r="A51" s="270"/>
      <c r="B51" s="108">
        <v>17</v>
      </c>
      <c r="C51">
        <v>20911</v>
      </c>
      <c r="D51" t="str">
        <f>VLOOKUP(C51,'Project Status'!C:H,6,FALSE)</f>
        <v>BUTTRICK HALL</v>
      </c>
      <c r="E51" s="3" t="str">
        <f>VLOOKUP(C51,'Project Status'!C:I,7,FALSE)</f>
        <v>Buttrick Hall - Elevator Upgrades</v>
      </c>
      <c r="F51" s="3" t="str">
        <f>VLOOKUP(C51,'Project Status'!C:J,8,FALSE)</f>
        <v>Construction</v>
      </c>
      <c r="G51" s="3" t="str">
        <f>VLOOKUP(C51,'Project Status'!C:K,9,FALSE)</f>
        <v>Ben Bedock</v>
      </c>
      <c r="H51" s="272"/>
      <c r="I51" s="242">
        <f>VLOOKUP(C51,'Project Status'!C:S,17,FALSE)</f>
        <v>61045</v>
      </c>
      <c r="J51" s="218">
        <f>VLOOKUP(C51,'Project Status'!C:T,18,FALSE)</f>
        <v>0</v>
      </c>
      <c r="K51" s="181">
        <f t="shared" si="2"/>
        <v>61045</v>
      </c>
      <c r="L51" s="195"/>
    </row>
    <row r="52" spans="1:14" ht="15" customHeight="1" x14ac:dyDescent="0.4">
      <c r="A52" s="270"/>
      <c r="B52" s="108">
        <v>18</v>
      </c>
      <c r="C52">
        <v>20912</v>
      </c>
      <c r="D52" t="str">
        <f>VLOOKUP(C52,'Project Status'!C:H,6,FALSE)</f>
        <v>BENSON OLD CENTRAL</v>
      </c>
      <c r="E52" s="3" t="str">
        <f>VLOOKUP(C52,'Project Status'!C:I,7,FALSE)</f>
        <v>Benson Hall - Elevator Upgrades</v>
      </c>
      <c r="F52" s="3" t="str">
        <f>VLOOKUP(C52,'Project Status'!C:J,8,FALSE)</f>
        <v>Construction</v>
      </c>
      <c r="G52" s="3" t="str">
        <f>VLOOKUP(C52,'Project Status'!C:K,9,FALSE)</f>
        <v>Ben Bedock</v>
      </c>
      <c r="H52" s="272"/>
      <c r="I52" s="242">
        <f>VLOOKUP(C52,'Project Status'!C:S,17,FALSE)</f>
        <v>59798</v>
      </c>
      <c r="J52" s="218">
        <f>VLOOKUP(C52,'Project Status'!C:T,18,FALSE)</f>
        <v>0</v>
      </c>
      <c r="K52" s="181">
        <f t="shared" si="2"/>
        <v>59798</v>
      </c>
      <c r="L52" s="195"/>
    </row>
    <row r="53" spans="1:14" x14ac:dyDescent="0.4">
      <c r="A53" s="270"/>
      <c r="B53" s="108">
        <v>19</v>
      </c>
      <c r="C53">
        <v>20913</v>
      </c>
      <c r="D53" t="str">
        <f>VLOOKUP(C53,'Project Status'!C:H,6,FALSE)</f>
        <v>WILSON HALL</v>
      </c>
      <c r="E53" s="3" t="str">
        <f>VLOOKUP(C53,'Project Status'!C:I,7,FALSE)</f>
        <v>Wilson Hall - Elevator Upgrades</v>
      </c>
      <c r="F53" s="3" t="str">
        <f>VLOOKUP(C53,'Project Status'!C:J,8,FALSE)</f>
        <v>Construction</v>
      </c>
      <c r="G53" s="3" t="str">
        <f>VLOOKUP(C53,'Project Status'!C:K,9,FALSE)</f>
        <v>Ben Bedock</v>
      </c>
      <c r="H53" s="272"/>
      <c r="I53" s="242">
        <f>VLOOKUP(C53,'Project Status'!C:S,17,FALSE)</f>
        <v>96612</v>
      </c>
      <c r="J53" s="218">
        <f>VLOOKUP(C53,'Project Status'!C:T,18,FALSE)</f>
        <v>0</v>
      </c>
      <c r="K53" s="181">
        <f t="shared" si="2"/>
        <v>96612</v>
      </c>
      <c r="L53" s="195"/>
    </row>
    <row r="54" spans="1:14" x14ac:dyDescent="0.4">
      <c r="A54" s="270"/>
      <c r="B54" s="108">
        <v>20</v>
      </c>
      <c r="C54">
        <v>20924</v>
      </c>
      <c r="D54" t="str">
        <f>VLOOKUP(C54,'Project Status'!C:H,6,FALSE)</f>
        <v>FRIST HALL</v>
      </c>
      <c r="E54" s="3" t="str">
        <f>VLOOKUP(C54,'Project Status'!C:I,7,FALSE)</f>
        <v>Frist Hall - Stairwell Roof Replacement</v>
      </c>
      <c r="F54" s="3" t="str">
        <f>VLOOKUP(C54,'Project Status'!C:J,8,FALSE)</f>
        <v>Award</v>
      </c>
      <c r="G54" s="3" t="str">
        <f>VLOOKUP(C54,'Project Status'!C:K,9,FALSE)</f>
        <v>Ben Bedock</v>
      </c>
      <c r="H54" s="272"/>
      <c r="I54" s="242">
        <f>VLOOKUP(C54,'Project Status'!C:S,17,FALSE)</f>
        <v>0</v>
      </c>
      <c r="J54" s="218">
        <f>VLOOKUP(C54,'Project Status'!C:T,18,FALSE)</f>
        <v>30570</v>
      </c>
      <c r="K54" s="181">
        <f t="shared" ref="K54" si="4">IF(J54="TBD",J54,SUM(I54:J54))</f>
        <v>30570</v>
      </c>
      <c r="L54" s="195"/>
    </row>
    <row r="55" spans="1:14" x14ac:dyDescent="0.4">
      <c r="A55" s="270"/>
      <c r="B55" s="108">
        <v>21</v>
      </c>
      <c r="C55">
        <v>20945</v>
      </c>
      <c r="D55" t="str">
        <f>VLOOKUP(C55,'Project Status'!C:H,6,FALSE)</f>
        <v>SEIGENTHALER CENTER</v>
      </c>
      <c r="E55" s="3" t="str">
        <f>VLOOKUP(C55,'Project Status'!C:I,7,FALSE)</f>
        <v>Seigenthaler Building - HVAC Improvements</v>
      </c>
      <c r="F55" s="3" t="str">
        <f>VLOOKUP(C55,'Project Status'!C:J,8,FALSE)</f>
        <v>Award</v>
      </c>
      <c r="G55" s="3" t="str">
        <f>VLOOKUP(C55,'Project Status'!C:K,9,FALSE)</f>
        <v>Sean Rewers</v>
      </c>
      <c r="H55" s="272"/>
      <c r="I55" s="242">
        <f>VLOOKUP(C55,'Project Status'!C:S,17,FALSE)</f>
        <v>99000</v>
      </c>
      <c r="J55" s="218">
        <f>VLOOKUP(C55,'Project Status'!C:T,18,FALSE)</f>
        <v>0</v>
      </c>
      <c r="K55" s="181">
        <f t="shared" si="2"/>
        <v>99000</v>
      </c>
      <c r="L55" s="195"/>
    </row>
    <row r="56" spans="1:14" x14ac:dyDescent="0.4">
      <c r="A56" s="270"/>
      <c r="B56" s="108">
        <v>22</v>
      </c>
      <c r="C56">
        <v>20957</v>
      </c>
      <c r="D56" t="str">
        <f>VLOOKUP(C56,'Project Status'!C:H,6,FALSE)</f>
        <v>SC PHYSICS &amp; ASTRONOMY</v>
      </c>
      <c r="E56" s="3" t="str">
        <f>VLOOKUP(C56,'Project Status'!C:I,7,FALSE)</f>
        <v>SC6 - Roof Replacement</v>
      </c>
      <c r="F56" s="3" t="str">
        <f>VLOOKUP(C56,'Project Status'!C:J,8,FALSE)</f>
        <v>Programming or Planning</v>
      </c>
      <c r="G56" s="3" t="str">
        <f>VLOOKUP(C56,'Project Status'!C:K,9,FALSE)</f>
        <v>Hans Mooy</v>
      </c>
      <c r="H56" s="272"/>
      <c r="I56" s="242">
        <f>VLOOKUP(C56,'Project Status'!C:S,17,FALSE)</f>
        <v>0</v>
      </c>
      <c r="J56" s="218">
        <f>VLOOKUP(C56,'Project Status'!C:T,18,FALSE)</f>
        <v>350000</v>
      </c>
      <c r="K56" s="181">
        <f t="shared" ref="K56" si="5">IF(J56="TBD",J56,SUM(I56:J56))</f>
        <v>350000</v>
      </c>
      <c r="L56" s="195"/>
    </row>
    <row r="57" spans="1:14" x14ac:dyDescent="0.4">
      <c r="A57" s="270"/>
      <c r="B57" s="108">
        <v>23</v>
      </c>
      <c r="C57">
        <v>20958</v>
      </c>
      <c r="D57" t="str">
        <f>VLOOKUP(C57,'Project Status'!C:H,6,FALSE)</f>
        <v>FURMAN HALL</v>
      </c>
      <c r="E57" s="3" t="str">
        <f>VLOOKUP(C57,'Project Status'!C:I,7,FALSE)</f>
        <v>Furman Hall - Elevator Modernization</v>
      </c>
      <c r="F57" s="3" t="str">
        <f>VLOOKUP(C57,'Project Status'!C:J,8,FALSE)</f>
        <v>Programming or Planning</v>
      </c>
      <c r="G57" s="3" t="str">
        <f>VLOOKUP(C57,'Project Status'!C:K,9,FALSE)</f>
        <v>Ben Bedock</v>
      </c>
      <c r="H57" s="272"/>
      <c r="I57" s="242">
        <f>VLOOKUP(C57,'Project Status'!C:S,17,FALSE)</f>
        <v>0</v>
      </c>
      <c r="J57" s="218">
        <f>VLOOKUP(C57,'Project Status'!C:T,18,FALSE)</f>
        <v>18175</v>
      </c>
      <c r="K57" s="181">
        <f t="shared" ref="K57" si="6">IF(J57="TBD",J57,SUM(I57:J57))</f>
        <v>18175</v>
      </c>
      <c r="L57" s="195"/>
    </row>
    <row r="58" spans="1:14" x14ac:dyDescent="0.4">
      <c r="A58" s="270"/>
      <c r="H58" s="272"/>
      <c r="I58" s="242"/>
      <c r="K58" s="173"/>
      <c r="L58" s="195"/>
      <c r="N58" s="173"/>
    </row>
    <row r="59" spans="1:14" x14ac:dyDescent="0.4">
      <c r="A59" s="270"/>
      <c r="H59" s="272"/>
      <c r="I59" s="242"/>
      <c r="K59" s="173"/>
      <c r="L59" s="195"/>
      <c r="N59" s="173"/>
    </row>
    <row r="60" spans="1:14" s="20" customFormat="1" x14ac:dyDescent="0.4">
      <c r="A60" s="270"/>
      <c r="C60" s="20">
        <v>10098</v>
      </c>
      <c r="D60" s="20" t="str">
        <f>VLOOKUP(C60,'Project Status'!C:H,6,FALSE)</f>
        <v>MRB III BIO/SCI</v>
      </c>
      <c r="E60" s="255" t="str">
        <f>VLOOKUP(C60,'Project Status'!C:I,7,FALSE)</f>
        <v>MRB III - 4th Floor - Replace Controls (Phase 2)</v>
      </c>
      <c r="F60" s="255" t="str">
        <f>VLOOKUP(C60,'Project Status'!C:J,8,FALSE)</f>
        <v>Finalized</v>
      </c>
      <c r="G60" s="255" t="str">
        <f>VLOOKUP(C60,'Project Status'!C:K,9,FALSE)</f>
        <v>Hans Mooy</v>
      </c>
      <c r="H60" s="272"/>
      <c r="I60" s="256">
        <f>VLOOKUP(C60,'Project Status'!C:S,17,FALSE)</f>
        <v>-4400.96</v>
      </c>
      <c r="J60" s="257">
        <f>VLOOKUP(C60,'Project Status'!C:T,18,FALSE)</f>
        <v>0</v>
      </c>
      <c r="K60" s="258">
        <f t="shared" ref="K60:K71" si="7">IF(J60="TBD",J60,SUM(I60:J60))</f>
        <v>-4400.96</v>
      </c>
      <c r="L60" s="253"/>
      <c r="N60" s="259"/>
    </row>
    <row r="61" spans="1:14" s="20" customFormat="1" x14ac:dyDescent="0.4">
      <c r="A61" s="270"/>
      <c r="C61" s="20">
        <v>20497</v>
      </c>
      <c r="D61" s="20" t="str">
        <f>VLOOKUP(C61,'Project Status'!C:H,6,FALSE)</f>
        <v>JESUP PSYCHOLOGY</v>
      </c>
      <c r="E61" s="255" t="str">
        <f>VLOOKUP(C61,'Project Status'!C:I,7,FALSE)</f>
        <v>Jesup - Roof Replacement</v>
      </c>
      <c r="F61" s="255" t="str">
        <f>VLOOKUP(C61,'Project Status'!C:J,8,FALSE)</f>
        <v>Finalized</v>
      </c>
      <c r="G61" s="255" t="str">
        <f>VLOOKUP(C61,'Project Status'!C:K,9,FALSE)</f>
        <v>Ben Bedock</v>
      </c>
      <c r="H61" s="272"/>
      <c r="I61" s="256">
        <f>VLOOKUP(C61,'Project Status'!C:S,17,FALSE)</f>
        <v>-44850</v>
      </c>
      <c r="J61" s="257">
        <f>VLOOKUP(C61,'Project Status'!C:T,18,FALSE)</f>
        <v>0</v>
      </c>
      <c r="K61" s="258">
        <f t="shared" si="7"/>
        <v>-44850</v>
      </c>
      <c r="L61" s="253"/>
    </row>
    <row r="62" spans="1:14" s="20" customFormat="1" x14ac:dyDescent="0.4">
      <c r="A62" s="270"/>
      <c r="C62" s="20">
        <v>20506</v>
      </c>
      <c r="D62" s="20" t="str">
        <f>VLOOKUP(C62,'Project Status'!C:H,6,FALSE)</f>
        <v>WYATT CENTER</v>
      </c>
      <c r="E62" s="255" t="str">
        <f>VLOOKUP(C62,'Project Status'!C:I,7,FALSE)</f>
        <v>Wyatt Center - Window Replacement</v>
      </c>
      <c r="F62" s="255" t="str">
        <f>VLOOKUP(C62,'Project Status'!C:J,8,FALSE)</f>
        <v>Finalized</v>
      </c>
      <c r="G62" s="255" t="str">
        <f>VLOOKUP(C62,'Project Status'!C:K,9,FALSE)</f>
        <v>Ben Bedock</v>
      </c>
      <c r="H62" s="272"/>
      <c r="I62" s="256">
        <f>VLOOKUP(C62,'Project Status'!C:S,17,FALSE)</f>
        <v>-36379</v>
      </c>
      <c r="J62" s="257">
        <f>VLOOKUP(C62,'Project Status'!C:T,18,FALSE)</f>
        <v>0</v>
      </c>
      <c r="K62" s="258">
        <f t="shared" si="7"/>
        <v>-36379</v>
      </c>
      <c r="L62" s="253"/>
    </row>
    <row r="63" spans="1:14" s="20" customFormat="1" x14ac:dyDescent="0.4">
      <c r="A63" s="270"/>
      <c r="C63" s="20">
        <v>20566</v>
      </c>
      <c r="D63" s="20" t="str">
        <f>VLOOKUP(C63,'Project Status'!C:H,6,FALSE)</f>
        <v>SC CHEMISTRY</v>
      </c>
      <c r="E63" s="255" t="str">
        <f>VLOOKUP(C63,'Project Status'!C:I,7,FALSE)</f>
        <v>SC Chemistry (SC7) - Elevator 1 &amp; 2 Modernization</v>
      </c>
      <c r="F63" s="255" t="str">
        <f>VLOOKUP(C63,'Project Status'!C:J,8,FALSE)</f>
        <v>Finalized</v>
      </c>
      <c r="G63" s="255" t="str">
        <f>VLOOKUP(C63,'Project Status'!C:K,9,FALSE)</f>
        <v>Ben Bedock</v>
      </c>
      <c r="H63" s="272"/>
      <c r="I63" s="256">
        <f>VLOOKUP(C63,'Project Status'!C:S,17,FALSE)</f>
        <v>-59283.32</v>
      </c>
      <c r="J63" s="257">
        <f>VLOOKUP(C63,'Project Status'!C:T,18,FALSE)</f>
        <v>0</v>
      </c>
      <c r="K63" s="258">
        <f t="shared" si="7"/>
        <v>-59283.32</v>
      </c>
      <c r="L63" s="253"/>
    </row>
    <row r="64" spans="1:14" s="20" customFormat="1" x14ac:dyDescent="0.4">
      <c r="A64" s="270"/>
      <c r="C64" s="20">
        <v>20771</v>
      </c>
      <c r="D64" s="20" t="str">
        <f>VLOOKUP(C64,'Project Status'!C:H,6,FALSE)</f>
        <v>SC CHEMISTRY</v>
      </c>
      <c r="E64" s="255" t="str">
        <f>VLOOKUP(C64,'Project Status'!C:I,7,FALSE)</f>
        <v>SC4 - Interstitial Space HVAC Modifications</v>
      </c>
      <c r="F64" s="255" t="str">
        <f>VLOOKUP(C64,'Project Status'!C:J,8,FALSE)</f>
        <v>Finalized</v>
      </c>
      <c r="G64" s="255" t="str">
        <f>VLOOKUP(C64,'Project Status'!C:K,9,FALSE)</f>
        <v>Sean Rewers</v>
      </c>
      <c r="H64" s="272"/>
      <c r="I64" s="256">
        <f>VLOOKUP(C64,'Project Status'!C:S,17,FALSE)</f>
        <v>-7025</v>
      </c>
      <c r="J64" s="257">
        <f>VLOOKUP(C64,'Project Status'!C:T,18,FALSE)</f>
        <v>0</v>
      </c>
      <c r="K64" s="258">
        <f t="shared" si="7"/>
        <v>-7025</v>
      </c>
      <c r="L64" s="253"/>
    </row>
    <row r="65" spans="1:15" s="20" customFormat="1" x14ac:dyDescent="0.4">
      <c r="A65" s="270"/>
      <c r="C65" s="20">
        <v>20702</v>
      </c>
      <c r="D65" s="20" t="str">
        <f>VLOOKUP(C65,'Project Status'!C:H,6,FALSE)</f>
        <v>WYATT CENTER</v>
      </c>
      <c r="E65" s="255" t="str">
        <f>VLOOKUP(C65,'Project Status'!C:I,7,FALSE)</f>
        <v>Wyatt Center - Elevator #2 Modernization</v>
      </c>
      <c r="F65" s="255" t="str">
        <f>VLOOKUP(C65,'Project Status'!C:J,8,FALSE)</f>
        <v>Finalized</v>
      </c>
      <c r="G65" s="255" t="str">
        <f>VLOOKUP(C65,'Project Status'!C:K,9,FALSE)</f>
        <v>Ben Bedock</v>
      </c>
      <c r="H65" s="272"/>
      <c r="I65" s="256">
        <f>VLOOKUP(C65,'Project Status'!C:S,17,FALSE)</f>
        <v>-29922</v>
      </c>
      <c r="J65" s="257">
        <f>VLOOKUP(C65,'Project Status'!C:T,18,FALSE)</f>
        <v>0</v>
      </c>
      <c r="K65" s="258">
        <f t="shared" si="7"/>
        <v>-29922</v>
      </c>
      <c r="L65" s="253"/>
    </row>
    <row r="66" spans="1:15" s="20" customFormat="1" x14ac:dyDescent="0.4">
      <c r="A66" s="270"/>
      <c r="C66" s="20">
        <v>20792</v>
      </c>
      <c r="D66" s="20" t="str">
        <f>VLOOKUP(C66,'Project Status'!C:H,6,FALSE)</f>
        <v>LAW SCHOOL</v>
      </c>
      <c r="E66" s="255" t="str">
        <f>VLOOKUP(C66,'Project Status'!C:I,7,FALSE)</f>
        <v>Law School - Sections 1, 2, &amp; 3  Roof Replacement</v>
      </c>
      <c r="F66" s="255" t="str">
        <f>VLOOKUP(C66,'Project Status'!C:J,8,FALSE)</f>
        <v>Finalized</v>
      </c>
      <c r="G66" s="255" t="str">
        <f>VLOOKUP(C66,'Project Status'!C:K,9,FALSE)</f>
        <v>Ben Bedock</v>
      </c>
      <c r="H66" s="272"/>
      <c r="I66" s="256">
        <f>VLOOKUP(C66,'Project Status'!C:S,17,FALSE)</f>
        <v>-32665</v>
      </c>
      <c r="J66" s="257">
        <f>VLOOKUP(C66,'Project Status'!C:T,18,FALSE)</f>
        <v>0</v>
      </c>
      <c r="K66" s="258">
        <f t="shared" si="7"/>
        <v>-32665</v>
      </c>
      <c r="L66" s="253"/>
    </row>
    <row r="67" spans="1:15" s="20" customFormat="1" x14ac:dyDescent="0.4">
      <c r="A67" s="270"/>
      <c r="C67" s="20">
        <v>20336</v>
      </c>
      <c r="D67" s="20" t="str">
        <f>VLOOKUP(C67,'Project Status'!C:H,6,FALSE)</f>
        <v>BLAIR SCHOOL OF MUSIC</v>
      </c>
      <c r="E67" s="255" t="str">
        <f>VLOOKUP(C67,'Project Status'!C:I,7,FALSE)</f>
        <v>Blair School of Music - Elevator #3 Modernization</v>
      </c>
      <c r="F67" s="255" t="str">
        <f>VLOOKUP(C67,'Project Status'!C:J,8,FALSE)</f>
        <v>Financial Closeout</v>
      </c>
      <c r="G67" s="255" t="str">
        <f>VLOOKUP(C67,'Project Status'!C:K,9,FALSE)</f>
        <v>Ben Bedock</v>
      </c>
      <c r="H67" s="272"/>
      <c r="I67" s="256">
        <f>VLOOKUP(C67,'Project Status'!C:S,17,FALSE)</f>
        <v>-47290</v>
      </c>
      <c r="J67" s="257">
        <f>VLOOKUP(C67,'Project Status'!C:T,18,FALSE)</f>
        <v>0</v>
      </c>
      <c r="K67" s="258">
        <f t="shared" si="7"/>
        <v>-47290</v>
      </c>
      <c r="L67" s="260"/>
    </row>
    <row r="68" spans="1:15" s="20" customFormat="1" x14ac:dyDescent="0.4">
      <c r="A68" s="270"/>
      <c r="C68" s="20">
        <v>20562</v>
      </c>
      <c r="D68" s="20" t="str">
        <f>VLOOKUP(C68,'Project Status'!C:H,6,FALSE)</f>
        <v>WYATT CENTER</v>
      </c>
      <c r="E68" s="255" t="str">
        <f>VLOOKUP(C68,'Project Status'!C:I,7,FALSE)</f>
        <v>Wyatt Center - VAV Replacement</v>
      </c>
      <c r="F68" s="255" t="str">
        <f>VLOOKUP(C68,'Project Status'!C:J,8,FALSE)</f>
        <v>Financial Closeout</v>
      </c>
      <c r="G68" s="255" t="str">
        <f>VLOOKUP(C68,'Project Status'!C:K,9,FALSE)</f>
        <v>Sean Rewers</v>
      </c>
      <c r="H68" s="272"/>
      <c r="I68" s="256">
        <f>VLOOKUP(C68,'Project Status'!C:S,17,FALSE)</f>
        <v>-43231.360000000001</v>
      </c>
      <c r="J68" s="257">
        <f>VLOOKUP(C68,'Project Status'!C:T,18,FALSE)</f>
        <v>0</v>
      </c>
      <c r="K68" s="258">
        <f t="shared" si="7"/>
        <v>-43231.360000000001</v>
      </c>
      <c r="L68" s="260"/>
    </row>
    <row r="69" spans="1:15" s="20" customFormat="1" x14ac:dyDescent="0.4">
      <c r="A69" s="270"/>
      <c r="C69" s="20">
        <v>20573</v>
      </c>
      <c r="D69" s="20" t="str">
        <f>VLOOKUP(C69,'Project Status'!C:H,6,FALSE)</f>
        <v>WYATT CENTER</v>
      </c>
      <c r="E69" s="255" t="str">
        <f>VLOOKUP(C69,'Project Status'!C:I,7,FALSE)</f>
        <v>Wyatt Center - Roof Replacement</v>
      </c>
      <c r="F69" s="255" t="str">
        <f>VLOOKUP(C69,'Project Status'!C:J,8,FALSE)</f>
        <v>Financial Closeout</v>
      </c>
      <c r="G69" s="255" t="str">
        <f>VLOOKUP(C69,'Project Status'!C:K,9,FALSE)</f>
        <v>Ben Bedock</v>
      </c>
      <c r="H69" s="272"/>
      <c r="I69" s="256">
        <f>VLOOKUP(C69,'Project Status'!C:S,17,FALSE)</f>
        <v>-119221</v>
      </c>
      <c r="J69" s="257">
        <f>VLOOKUP(C69,'Project Status'!C:T,18,FALSE)</f>
        <v>0</v>
      </c>
      <c r="K69" s="258">
        <f t="shared" si="7"/>
        <v>-119221</v>
      </c>
      <c r="L69" s="254" t="s">
        <v>409</v>
      </c>
    </row>
    <row r="70" spans="1:15" s="20" customFormat="1" x14ac:dyDescent="0.4">
      <c r="A70" s="270"/>
      <c r="C70" s="20">
        <v>20574</v>
      </c>
      <c r="D70" s="20" t="str">
        <f>VLOOKUP(C70,'Project Status'!C:H,6,FALSE)</f>
        <v>MRB III BIO/SCI</v>
      </c>
      <c r="E70" s="255" t="str">
        <f>VLOOKUP(C70,'Project Status'!C:I,7,FALSE)</f>
        <v>MRB III - Steam Coil Replacement</v>
      </c>
      <c r="F70" s="255" t="str">
        <f>VLOOKUP(C70,'Project Status'!C:J,8,FALSE)</f>
        <v>Financial Closeout</v>
      </c>
      <c r="G70" s="255" t="str">
        <f>VLOOKUP(C70,'Project Status'!C:K,9,FALSE)</f>
        <v>Sean Rewers</v>
      </c>
      <c r="H70" s="272"/>
      <c r="I70" s="256">
        <f>VLOOKUP(C70,'Project Status'!C:S,17,FALSE)</f>
        <v>-22537</v>
      </c>
      <c r="J70" s="257">
        <f>VLOOKUP(C70,'Project Status'!C:T,18,FALSE)</f>
        <v>0</v>
      </c>
      <c r="K70" s="258">
        <f t="shared" si="7"/>
        <v>-22537</v>
      </c>
      <c r="L70" s="254" t="s">
        <v>410</v>
      </c>
    </row>
    <row r="71" spans="1:15" s="20" customFormat="1" x14ac:dyDescent="0.4">
      <c r="A71" s="270"/>
      <c r="C71" s="20">
        <v>20644</v>
      </c>
      <c r="D71" s="20" t="str">
        <f>VLOOKUP(C71,'Project Status'!C:H,6,FALSE)</f>
        <v>PEABODY ADMINISTRATION</v>
      </c>
      <c r="E71" s="255" t="str">
        <f>VLOOKUP(C71,'Project Status'!C:I,7,FALSE)</f>
        <v>Peabody Administration - Envelope Repairs</v>
      </c>
      <c r="F71" s="255" t="str">
        <f>VLOOKUP(C71,'Project Status'!C:J,8,FALSE)</f>
        <v>Financial Closeout</v>
      </c>
      <c r="G71" s="255" t="str">
        <f>VLOOKUP(C71,'Project Status'!C:K,9,FALSE)</f>
        <v>Ben Bedock</v>
      </c>
      <c r="H71" s="272"/>
      <c r="I71" s="256">
        <f>VLOOKUP(C71,'Project Status'!C:S,17,FALSE)</f>
        <v>-58765</v>
      </c>
      <c r="J71" s="257">
        <f>VLOOKUP(C71,'Project Status'!C:T,18,FALSE)</f>
        <v>0</v>
      </c>
      <c r="K71" s="258">
        <f t="shared" si="7"/>
        <v>-58765</v>
      </c>
      <c r="L71" s="260">
        <f>L32</f>
        <v>567212.74000000022</v>
      </c>
    </row>
    <row r="72" spans="1:15" x14ac:dyDescent="0.4">
      <c r="A72" s="270"/>
      <c r="H72" s="272"/>
      <c r="K72" s="173"/>
      <c r="L72" s="195"/>
    </row>
    <row r="73" spans="1:15" x14ac:dyDescent="0.4">
      <c r="H73" s="272"/>
      <c r="I73" s="179">
        <f>SUM(I35:I72)</f>
        <v>8218176.3599999994</v>
      </c>
      <c r="J73" s="179">
        <f>SUM(J35:J72)</f>
        <v>3384630</v>
      </c>
      <c r="K73" s="179">
        <f>SUM(K35:K72)</f>
        <v>11602806.359999999</v>
      </c>
      <c r="L73" s="179">
        <f>H35-K73+L71</f>
        <v>-6310.3300000000745</v>
      </c>
      <c r="N73" s="173"/>
      <c r="O73" s="173"/>
    </row>
    <row r="74" spans="1:15" x14ac:dyDescent="0.4">
      <c r="I74" s="78"/>
      <c r="N74" s="173"/>
      <c r="O74" s="173"/>
    </row>
    <row r="75" spans="1:15" x14ac:dyDescent="0.4">
      <c r="A75" s="271" t="s">
        <v>294</v>
      </c>
      <c r="B75" s="183"/>
      <c r="C75" s="183" t="s">
        <v>125</v>
      </c>
      <c r="D75" s="183" t="s">
        <v>114</v>
      </c>
      <c r="E75" s="183" t="s">
        <v>87</v>
      </c>
      <c r="F75" s="263" t="s">
        <v>128</v>
      </c>
      <c r="G75" s="263" t="s">
        <v>129</v>
      </c>
      <c r="H75" s="187" t="s">
        <v>293</v>
      </c>
      <c r="I75" s="184" t="s">
        <v>255</v>
      </c>
      <c r="J75" s="184" t="s">
        <v>291</v>
      </c>
      <c r="K75" s="193" t="s">
        <v>290</v>
      </c>
      <c r="L75" s="194" t="s">
        <v>256</v>
      </c>
    </row>
    <row r="76" spans="1:15" ht="14.7" customHeight="1" x14ac:dyDescent="0.4">
      <c r="A76" s="271"/>
      <c r="B76" s="108">
        <v>1</v>
      </c>
      <c r="C76">
        <v>20772</v>
      </c>
      <c r="D76" t="str">
        <f>VLOOKUP(C76,'Project Status'!C:H,6,FALSE)</f>
        <v>OWEN GRAD MGMT</v>
      </c>
      <c r="E76" t="str">
        <f>VLOOKUP(C76,'Project Status'!C:I,7,FALSE)</f>
        <v>OGSM Old Mechanical- Slate Roof &amp; Window Replacement</v>
      </c>
      <c r="F76" t="str">
        <f>VLOOKUP(C76,'Project Status'!C:J,8,FALSE)</f>
        <v>Construction</v>
      </c>
      <c r="G76" t="str">
        <f>VLOOKUP(C76,'Project Status'!C:K,9,FALSE)</f>
        <v>Ben Bedock</v>
      </c>
      <c r="H76" s="273">
        <f>Contributions!K17</f>
        <v>12857284.462265246</v>
      </c>
      <c r="J76" s="180">
        <f>VLOOKUP(C76,'Project Status'!C:V,20,FALSE)</f>
        <v>3200000</v>
      </c>
      <c r="K76" s="181">
        <f>IF(J76="TBD",J76,SUM(I76:J76))</f>
        <v>3200000</v>
      </c>
      <c r="L76" s="197"/>
    </row>
    <row r="77" spans="1:15" x14ac:dyDescent="0.4">
      <c r="A77" s="271"/>
      <c r="B77" s="108">
        <v>2</v>
      </c>
      <c r="C77">
        <v>20577</v>
      </c>
      <c r="D77" t="str">
        <f>VLOOKUP(C77,'Project Status'!C:H,6,FALSE)</f>
        <v>BLAIR SCHOOL OF MUSIC</v>
      </c>
      <c r="E77" t="str">
        <f>VLOOKUP(C77,'Project Status'!C:I,7,FALSE)</f>
        <v>Blair School of Music - AHU - 1 Replacement -Phase 1 - FY25</v>
      </c>
      <c r="F77" t="str">
        <f>VLOOKUP(C77,'Project Status'!C:J,8,FALSE)</f>
        <v>Bidding</v>
      </c>
      <c r="G77" t="str">
        <f>VLOOKUP(C77,'Project Status'!C:K,9,FALSE)</f>
        <v>Hans Mooy</v>
      </c>
      <c r="H77" s="273"/>
      <c r="J77" s="180">
        <f>VLOOKUP(C77,'Project Status'!C:V,20,FALSE)</f>
        <v>1500000</v>
      </c>
      <c r="K77" s="181">
        <f t="shared" ref="K77" si="8">IF(J77="TBD",J77,SUM(I77:J77))</f>
        <v>1500000</v>
      </c>
      <c r="L77" s="197"/>
      <c r="M77" s="20" t="s">
        <v>366</v>
      </c>
    </row>
    <row r="78" spans="1:15" x14ac:dyDescent="0.4">
      <c r="A78" s="271"/>
      <c r="B78" s="108">
        <v>3</v>
      </c>
      <c r="C78">
        <v>20723</v>
      </c>
      <c r="D78" t="str">
        <f>VLOOKUP(C78,'Project Status'!C:H,6,FALSE)</f>
        <v>MRB III BIO/SCI</v>
      </c>
      <c r="E78" t="str">
        <f>VLOOKUP(C78,'Project Status'!C:I,7,FALSE)</f>
        <v>MRB III - 9th Floor (with 4 ,5 &amp; 8) - Replace Controls (Phase 3)</v>
      </c>
      <c r="F78" t="str">
        <f>VLOOKUP(C78,'Project Status'!C:J,8,FALSE)</f>
        <v>Award</v>
      </c>
      <c r="G78" t="str">
        <f>VLOOKUP(C78,'Project Status'!C:K,9,FALSE)</f>
        <v>Andy Maddox</v>
      </c>
      <c r="H78" s="273"/>
      <c r="J78" s="180" t="str">
        <f>VLOOKUP(C78,'Project Status'!C:V,20,FALSE)</f>
        <v>TBD</v>
      </c>
      <c r="K78" s="181" t="str">
        <f t="shared" ref="K78" si="9">IF(J78="TBD",J78,SUM(I78:J78))</f>
        <v>TBD</v>
      </c>
      <c r="L78" s="197"/>
    </row>
    <row r="79" spans="1:15" x14ac:dyDescent="0.4">
      <c r="A79" s="271"/>
      <c r="B79" s="108">
        <v>4</v>
      </c>
      <c r="C79">
        <v>20668</v>
      </c>
      <c r="D79" t="str">
        <f>VLOOKUP(C79,'Project Status'!C:H,6,FALSE)</f>
        <v>KECK FREE ELECTRON LASER CTR</v>
      </c>
      <c r="E79" t="str">
        <f>VLOOKUP(C79,'Project Status'!C:I,7,FALSE)</f>
        <v>Keck FEL - Mechanical Upgrades</v>
      </c>
      <c r="F79" t="str">
        <f>VLOOKUP(C79,'Project Status'!C:J,8,FALSE)</f>
        <v>Design</v>
      </c>
      <c r="G79" t="str">
        <f>VLOOKUP(C79,'Project Status'!C:K,9,FALSE)</f>
        <v>Sean Rewers</v>
      </c>
      <c r="H79" s="273"/>
      <c r="J79" s="180" t="str">
        <f>VLOOKUP(C79,'Project Status'!C:V,20,FALSE)</f>
        <v>TBD</v>
      </c>
      <c r="K79" s="181" t="str">
        <f t="shared" ref="K79" si="10">IF(J79="TBD",J79,SUM(I79:J79))</f>
        <v>TBD</v>
      </c>
      <c r="L79" s="197"/>
    </row>
    <row r="80" spans="1:15" x14ac:dyDescent="0.4">
      <c r="A80" s="271"/>
      <c r="B80" s="108">
        <v>5</v>
      </c>
      <c r="C80">
        <v>20767</v>
      </c>
      <c r="D80" t="str">
        <f>VLOOKUP(C80,'Project Status'!C:H,6,FALSE)</f>
        <v>SIX MAGNOLIA CIRCLE</v>
      </c>
      <c r="E80" t="str">
        <f>VLOOKUP(C80,'Project Status'!C:I,7,FALSE)</f>
        <v>Six Magnolia Circle - Foundation Repairs</v>
      </c>
      <c r="F80" t="str">
        <f>VLOOKUP(C80,'Project Status'!C:J,8,FALSE)</f>
        <v>Award</v>
      </c>
      <c r="G80" t="str">
        <f>VLOOKUP(C80,'Project Status'!C:K,9,FALSE)</f>
        <v>Jay Surprenant</v>
      </c>
      <c r="H80" s="273"/>
      <c r="J80" s="180">
        <f>VLOOKUP(C80,'Project Status'!C:V,20,FALSE)</f>
        <v>0</v>
      </c>
      <c r="K80" s="181">
        <f t="shared" ref="K80" si="11">IF(J80="TBD",J80,SUM(I80:J80))</f>
        <v>0</v>
      </c>
      <c r="L80" s="197"/>
    </row>
    <row r="81" spans="1:13" x14ac:dyDescent="0.4">
      <c r="A81" s="271"/>
      <c r="B81" s="108">
        <v>6</v>
      </c>
      <c r="C81">
        <v>20924</v>
      </c>
      <c r="D81" t="str">
        <f>VLOOKUP(C81,'Project Status'!C:H,6,FALSE)</f>
        <v>FRIST HALL</v>
      </c>
      <c r="E81" t="str">
        <f>VLOOKUP(C81,'Project Status'!C:I,7,FALSE)</f>
        <v>Frist Hall - Stairwell Roof Replacement</v>
      </c>
      <c r="F81" t="str">
        <f>VLOOKUP(C81,'Project Status'!C:J,8,FALSE)</f>
        <v>Award</v>
      </c>
      <c r="G81" t="str">
        <f>VLOOKUP(C81,'Project Status'!C:K,9,FALSE)</f>
        <v>Ben Bedock</v>
      </c>
      <c r="H81" s="273"/>
      <c r="J81" s="180">
        <f>VLOOKUP(C81,'Project Status'!C:V,20,FALSE)</f>
        <v>0</v>
      </c>
      <c r="K81" s="181">
        <f t="shared" ref="K81:K84" si="12">IF(J81="TBD",J81,SUM(I81:J81))</f>
        <v>0</v>
      </c>
      <c r="L81" s="197"/>
    </row>
    <row r="82" spans="1:13" x14ac:dyDescent="0.4">
      <c r="A82" s="271"/>
      <c r="B82" s="108">
        <v>8</v>
      </c>
      <c r="C82">
        <v>20934</v>
      </c>
      <c r="D82" t="str">
        <f>VLOOKUP(C82,'Project Status'!C:H,6,FALSE)</f>
        <v>NEELY AUDITORIUM</v>
      </c>
      <c r="E82" t="str">
        <f>VLOOKUP(C82,'Project Status'!C:I,7,FALSE)</f>
        <v>Neely Auditorium - MEP Feasibility Study</v>
      </c>
      <c r="F82" t="str">
        <f>VLOOKUP(C82,'Project Status'!C:J,8,FALSE)</f>
        <v>Not Started</v>
      </c>
      <c r="G82" t="str">
        <f>VLOOKUP(C82,'Project Status'!C:K,9,FALSE)</f>
        <v>Sean Rewers</v>
      </c>
      <c r="H82" s="273"/>
      <c r="J82" s="180">
        <f>VLOOKUP(C82,'Project Status'!C:V,20,FALSE)</f>
        <v>0</v>
      </c>
      <c r="K82" s="181">
        <f t="shared" si="12"/>
        <v>0</v>
      </c>
      <c r="L82" s="197"/>
    </row>
    <row r="83" spans="1:13" x14ac:dyDescent="0.4">
      <c r="A83" s="271"/>
      <c r="B83" s="108">
        <v>9</v>
      </c>
      <c r="C83">
        <v>20936</v>
      </c>
      <c r="D83" t="str">
        <f>VLOOKUP(C83,'Project Status'!C:H,6,FALSE)</f>
        <v>WILSON HALL</v>
      </c>
      <c r="E83" t="str">
        <f>VLOOKUP(C83,'Project Status'!C:I,7,FALSE)</f>
        <v>Wilson Hall - Lighting Retrofit for 103 and 126</v>
      </c>
      <c r="F83" t="str">
        <f>VLOOKUP(C83,'Project Status'!C:J,8,FALSE)</f>
        <v>Award</v>
      </c>
      <c r="G83" t="str">
        <f>VLOOKUP(C83,'Project Status'!C:K,9,FALSE)</f>
        <v>Jay Surprenant</v>
      </c>
      <c r="H83" s="273"/>
      <c r="J83" s="180">
        <f>VLOOKUP(C83,'Project Status'!C:V,20,FALSE)</f>
        <v>0</v>
      </c>
      <c r="K83" s="181">
        <f t="shared" si="12"/>
        <v>0</v>
      </c>
      <c r="L83" s="197"/>
    </row>
    <row r="84" spans="1:13" x14ac:dyDescent="0.4">
      <c r="A84" s="271"/>
      <c r="B84" s="108">
        <v>10</v>
      </c>
      <c r="C84">
        <v>20940</v>
      </c>
      <c r="D84" t="str">
        <f>VLOOKUP(C84,'Project Status'!C:H,6,FALSE)</f>
        <v>1025 16TH AVE S</v>
      </c>
      <c r="E84" t="str">
        <f>VLOOKUP(C84,'Project Status'!C:I,7,FALSE)</f>
        <v>1025 16th Avenue - Security System Replacement</v>
      </c>
      <c r="F84" t="str">
        <f>VLOOKUP(C84,'Project Status'!C:J,8,FALSE)</f>
        <v>Programming or Planning</v>
      </c>
      <c r="G84" t="str">
        <f>VLOOKUP(C84,'Project Status'!C:K,9,FALSE)</f>
        <v>Sean Rewers</v>
      </c>
      <c r="H84" s="273"/>
      <c r="J84" s="180">
        <f>VLOOKUP(C84,'Project Status'!C:V,20,FALSE)</f>
        <v>0</v>
      </c>
      <c r="K84" s="181">
        <f t="shared" si="12"/>
        <v>0</v>
      </c>
      <c r="L84" s="197"/>
    </row>
    <row r="85" spans="1:13" x14ac:dyDescent="0.4">
      <c r="A85" s="271"/>
      <c r="B85" s="108">
        <v>11</v>
      </c>
      <c r="C85">
        <v>20945</v>
      </c>
      <c r="D85" t="str">
        <f>VLOOKUP(C85,'Project Status'!C:H,6,FALSE)</f>
        <v>SEIGENTHALER CENTER</v>
      </c>
      <c r="E85" t="str">
        <f>VLOOKUP(C85,'Project Status'!C:I,7,FALSE)</f>
        <v>Seigenthaler Building - HVAC Improvements</v>
      </c>
      <c r="F85" t="str">
        <f>VLOOKUP(C85,'Project Status'!C:J,8,FALSE)</f>
        <v>Award</v>
      </c>
      <c r="G85" t="str">
        <f>VLOOKUP(C85,'Project Status'!C:K,9,FALSE)</f>
        <v>Sean Rewers</v>
      </c>
      <c r="H85" s="273"/>
      <c r="J85" s="180" t="str">
        <f>VLOOKUP(C85,'Project Status'!C:V,20,FALSE)</f>
        <v>TBD</v>
      </c>
      <c r="K85" s="181" t="str">
        <f t="shared" ref="K85" si="13">IF(J85="TBD",J85,SUM(I85:J85))</f>
        <v>TBD</v>
      </c>
      <c r="L85" s="197"/>
    </row>
    <row r="86" spans="1:13" x14ac:dyDescent="0.4">
      <c r="A86" s="271"/>
      <c r="B86" s="108">
        <v>12</v>
      </c>
      <c r="C86">
        <v>20958</v>
      </c>
      <c r="D86" t="str">
        <f>VLOOKUP(C86,'Project Status'!C:H,6,FALSE)</f>
        <v>FURMAN HALL</v>
      </c>
      <c r="E86" t="str">
        <f>VLOOKUP(C86,'Project Status'!C:I,7,FALSE)</f>
        <v>Furman Hall - Elevator Modernization</v>
      </c>
      <c r="F86" t="str">
        <f>VLOOKUP(C86,'Project Status'!C:J,8,FALSE)</f>
        <v>Programming or Planning</v>
      </c>
      <c r="G86" t="str">
        <f>VLOOKUP(C86,'Project Status'!C:K,9,FALSE)</f>
        <v>Ben Bedock</v>
      </c>
      <c r="H86" s="273"/>
      <c r="J86" s="180" t="str">
        <f>VLOOKUP(C86,'Project Status'!C:V,20,FALSE)</f>
        <v>TBD</v>
      </c>
      <c r="K86" s="181" t="str">
        <f t="shared" ref="K86" si="14">IF(J86="TBD",J86,SUM(I86:J86))</f>
        <v>TBD</v>
      </c>
      <c r="L86" s="197"/>
    </row>
    <row r="87" spans="1:13" x14ac:dyDescent="0.4">
      <c r="A87" s="271"/>
      <c r="H87" s="273"/>
      <c r="K87" s="173"/>
      <c r="L87" s="197"/>
    </row>
    <row r="88" spans="1:13" x14ac:dyDescent="0.4">
      <c r="A88" s="271"/>
      <c r="H88" s="273"/>
      <c r="K88" s="173"/>
      <c r="L88" s="197"/>
    </row>
    <row r="89" spans="1:13" x14ac:dyDescent="0.4">
      <c r="A89" s="271"/>
      <c r="H89" s="273"/>
      <c r="K89" s="173"/>
      <c r="L89" s="197"/>
    </row>
    <row r="90" spans="1:13" x14ac:dyDescent="0.4">
      <c r="A90" s="271"/>
      <c r="H90" s="273"/>
      <c r="K90" s="173"/>
      <c r="L90" s="197"/>
    </row>
    <row r="91" spans="1:13" ht="14.7" customHeight="1" x14ac:dyDescent="0.4">
      <c r="A91" s="271"/>
      <c r="H91" s="273"/>
      <c r="K91" s="173"/>
      <c r="L91" s="197"/>
    </row>
    <row r="92" spans="1:13" x14ac:dyDescent="0.4">
      <c r="A92" s="271"/>
      <c r="H92" s="273"/>
      <c r="K92" s="173"/>
      <c r="L92" s="197"/>
    </row>
    <row r="93" spans="1:13" x14ac:dyDescent="0.4">
      <c r="H93" s="273"/>
      <c r="I93" s="182">
        <f>SUM(I76:I92)</f>
        <v>0</v>
      </c>
      <c r="J93" s="182">
        <f>SUM(J76:J92)</f>
        <v>4700000</v>
      </c>
      <c r="K93" s="182">
        <f>SUM(K76:K92)</f>
        <v>4700000</v>
      </c>
      <c r="L93" s="182">
        <f>H76-K93</f>
        <v>8157284.4622652456</v>
      </c>
    </row>
    <row r="95" spans="1:13" x14ac:dyDescent="0.4">
      <c r="A95" s="267" t="s">
        <v>351</v>
      </c>
      <c r="B95" s="215"/>
      <c r="C95" s="215" t="s">
        <v>125</v>
      </c>
      <c r="D95" s="215" t="s">
        <v>114</v>
      </c>
      <c r="E95" s="215" t="s">
        <v>87</v>
      </c>
      <c r="F95" s="264" t="s">
        <v>128</v>
      </c>
      <c r="G95" s="264" t="s">
        <v>129</v>
      </c>
      <c r="H95" s="213" t="s">
        <v>293</v>
      </c>
      <c r="I95" s="216" t="s">
        <v>255</v>
      </c>
      <c r="J95" s="216" t="s">
        <v>291</v>
      </c>
      <c r="K95" s="217" t="s">
        <v>290</v>
      </c>
      <c r="L95" s="214" t="s">
        <v>256</v>
      </c>
    </row>
    <row r="96" spans="1:13" ht="14.7" customHeight="1" x14ac:dyDescent="0.4">
      <c r="A96" s="267"/>
      <c r="B96" s="108">
        <v>1</v>
      </c>
      <c r="C96">
        <v>20489</v>
      </c>
      <c r="D96" t="str">
        <f>VLOOKUP(C96,'Project Status'!C:H,6,FALSE)</f>
        <v>DIVINITY</v>
      </c>
      <c r="E96" t="str">
        <f>VLOOKUP(C96,'Project Status'!C:I,7,FALSE)</f>
        <v>Divinity Air Handling Unit Replacement,(1/3) - Phase 2 with Benton - FY26</v>
      </c>
      <c r="F96" t="str">
        <f>VLOOKUP(C96,'Project Status'!C:J,8,FALSE)</f>
        <v>Not Started</v>
      </c>
      <c r="G96" t="str">
        <f>VLOOKUP(C96,'Project Status'!C:K,9,FALSE)</f>
        <v>Hans Mooy</v>
      </c>
      <c r="H96" s="266">
        <f>Contributions!K41</f>
        <v>0</v>
      </c>
      <c r="J96" s="180">
        <f>VLOOKUP(C96,'Project Status'!C:W,21,FALSE)</f>
        <v>3170000</v>
      </c>
      <c r="K96" s="181">
        <f>IF(J96="TBD",J96,SUM(I96:J96))</f>
        <v>3170000</v>
      </c>
      <c r="L96" s="55"/>
      <c r="M96" s="20" t="s">
        <v>365</v>
      </c>
    </row>
    <row r="97" spans="1:13" x14ac:dyDescent="0.4">
      <c r="A97" s="267"/>
      <c r="B97" s="108">
        <v>2</v>
      </c>
      <c r="C97">
        <v>20925</v>
      </c>
      <c r="D97" t="str">
        <f>VLOOKUP(C97,'Project Status'!C:H,6,FALSE)</f>
        <v>BLAIR SCHOOL OF MUSIC</v>
      </c>
      <c r="E97" t="str">
        <f>VLOOKUP(C97,'Project Status'!C:I,7,FALSE)</f>
        <v>Blair School of Music - AHU 2/3 Replacement  - Phase 2 - FY26</v>
      </c>
      <c r="F97" t="str">
        <f>VLOOKUP(C97,'Project Status'!C:J,8,FALSE)</f>
        <v>Design</v>
      </c>
      <c r="G97" t="str">
        <f>VLOOKUP(C97,'Project Status'!C:K,9,FALSE)</f>
        <v>Hans Mooy</v>
      </c>
      <c r="H97" s="266"/>
      <c r="J97" s="180">
        <f>VLOOKUP(C97,'Project Status'!C:W,21,FALSE)</f>
        <v>2750000</v>
      </c>
      <c r="K97" s="181">
        <f>IF(J97="TBD",J97,SUM(I97:J97))</f>
        <v>2750000</v>
      </c>
      <c r="L97" s="55"/>
      <c r="M97" s="20" t="s">
        <v>365</v>
      </c>
    </row>
    <row r="98" spans="1:13" x14ac:dyDescent="0.4">
      <c r="A98" s="267"/>
      <c r="B98" s="108">
        <v>3</v>
      </c>
      <c r="C98">
        <v>20563</v>
      </c>
      <c r="D98" t="str">
        <f>VLOOKUP(C98,'Project Status'!C:H,6,FALSE)</f>
        <v>KECK FREE ELECTRON LASER CTR</v>
      </c>
      <c r="E98" t="str">
        <f>VLOOKUP(C98,'Project Status'!C:I,7,FALSE)</f>
        <v>Keck FEL - Roof Replacement</v>
      </c>
      <c r="F98" t="str">
        <f>VLOOKUP(C98,'Project Status'!C:J,8,FALSE)</f>
        <v>Not Started</v>
      </c>
      <c r="G98" t="str">
        <f>VLOOKUP(C98,'Project Status'!C:K,9,FALSE)</f>
        <v>Ben Bedock</v>
      </c>
      <c r="H98" s="266"/>
      <c r="J98" s="180" t="str">
        <f>VLOOKUP(C98,'Project Status'!C:W,21,FALSE)</f>
        <v>TBD</v>
      </c>
      <c r="K98" s="181" t="str">
        <f>IF(J98="TBD",J98,SUM(I98:J98))</f>
        <v>TBD</v>
      </c>
      <c r="L98" s="55"/>
    </row>
    <row r="99" spans="1:13" x14ac:dyDescent="0.4">
      <c r="A99" s="267"/>
      <c r="B99" s="108"/>
      <c r="H99" s="266"/>
      <c r="J99" s="180"/>
      <c r="K99" s="181"/>
      <c r="L99" s="55"/>
    </row>
    <row r="100" spans="1:13" x14ac:dyDescent="0.4">
      <c r="A100" s="267"/>
      <c r="H100" s="266"/>
      <c r="J100" s="180"/>
      <c r="K100" s="181"/>
      <c r="L100" s="55"/>
    </row>
    <row r="101" spans="1:13" x14ac:dyDescent="0.4">
      <c r="A101" s="267"/>
      <c r="H101" s="266"/>
      <c r="J101" s="180"/>
      <c r="K101" s="181"/>
      <c r="L101" s="55"/>
    </row>
    <row r="102" spans="1:13" x14ac:dyDescent="0.4">
      <c r="A102" s="267"/>
      <c r="H102" s="266"/>
      <c r="J102" s="180"/>
      <c r="K102" s="181"/>
      <c r="L102" s="55"/>
    </row>
    <row r="103" spans="1:13" x14ac:dyDescent="0.4">
      <c r="A103" s="267"/>
      <c r="H103" s="266"/>
      <c r="J103" s="180"/>
      <c r="K103" s="181"/>
      <c r="L103" s="55"/>
    </row>
    <row r="104" spans="1:13" x14ac:dyDescent="0.4">
      <c r="A104" s="267"/>
      <c r="H104" s="266"/>
      <c r="J104" s="180"/>
      <c r="K104" s="181"/>
      <c r="L104" s="55"/>
    </row>
    <row r="105" spans="1:13" x14ac:dyDescent="0.4">
      <c r="A105" s="267"/>
      <c r="H105" s="266"/>
      <c r="J105" s="180"/>
      <c r="K105" s="181"/>
      <c r="L105" s="55"/>
    </row>
    <row r="106" spans="1:13" x14ac:dyDescent="0.4">
      <c r="A106" s="267"/>
      <c r="H106" s="266"/>
      <c r="K106" s="173"/>
      <c r="L106" s="55"/>
    </row>
    <row r="107" spans="1:13" x14ac:dyDescent="0.4">
      <c r="A107" s="267"/>
      <c r="H107" s="266"/>
      <c r="K107" s="173"/>
      <c r="L107" s="55"/>
    </row>
    <row r="108" spans="1:13" x14ac:dyDescent="0.4">
      <c r="A108" s="267"/>
      <c r="H108" s="266"/>
      <c r="K108" s="173"/>
      <c r="L108" s="55"/>
    </row>
    <row r="109" spans="1:13" x14ac:dyDescent="0.4">
      <c r="A109" s="267"/>
      <c r="H109" s="266"/>
      <c r="K109" s="173"/>
      <c r="L109" s="55"/>
    </row>
    <row r="110" spans="1:13" x14ac:dyDescent="0.4">
      <c r="A110" s="267"/>
      <c r="H110" s="266"/>
      <c r="K110" s="173"/>
      <c r="L110" s="55"/>
    </row>
    <row r="111" spans="1:13" x14ac:dyDescent="0.4">
      <c r="A111" s="267"/>
      <c r="H111" s="266"/>
      <c r="K111" s="173"/>
      <c r="L111" s="55"/>
    </row>
    <row r="112" spans="1:13" x14ac:dyDescent="0.4">
      <c r="A112" s="267"/>
      <c r="H112" s="266"/>
      <c r="K112" s="173"/>
      <c r="L112" s="55"/>
    </row>
    <row r="113" spans="1:12" x14ac:dyDescent="0.4">
      <c r="A113" s="267"/>
      <c r="H113" s="266"/>
      <c r="K113" s="173"/>
      <c r="L113" s="55"/>
    </row>
    <row r="114" spans="1:12" x14ac:dyDescent="0.4">
      <c r="A114" s="267"/>
      <c r="H114" s="266"/>
      <c r="K114" s="173"/>
      <c r="L114" s="55"/>
    </row>
    <row r="115" spans="1:12" ht="14.7" customHeight="1" x14ac:dyDescent="0.4">
      <c r="A115" s="267"/>
      <c r="H115" s="266"/>
      <c r="K115" s="173"/>
      <c r="L115" s="55"/>
    </row>
    <row r="116" spans="1:12" x14ac:dyDescent="0.4">
      <c r="A116" s="267"/>
      <c r="H116" s="266"/>
      <c r="K116" s="173"/>
      <c r="L116" s="55"/>
    </row>
    <row r="117" spans="1:12" x14ac:dyDescent="0.4">
      <c r="H117" s="266"/>
      <c r="I117" s="212">
        <f t="shared" ref="I117" si="15">SUM(I96:I116)</f>
        <v>0</v>
      </c>
      <c r="J117" s="212">
        <f t="shared" ref="J117" si="16">SUM(J96:J116)</f>
        <v>5920000</v>
      </c>
      <c r="K117" s="212">
        <f>SUM(K96:K116)</f>
        <v>5920000</v>
      </c>
      <c r="L117" s="212">
        <f>H96-K117</f>
        <v>-5920000</v>
      </c>
    </row>
  </sheetData>
  <sortState xmlns:xlrd2="http://schemas.microsoft.com/office/spreadsheetml/2017/richdata2" ref="C35:G55">
    <sortCondition ref="C35:C55"/>
  </sortState>
  <mergeCells count="8">
    <mergeCell ref="H96:H117"/>
    <mergeCell ref="A95:A116"/>
    <mergeCell ref="H3:H32"/>
    <mergeCell ref="A2:A31"/>
    <mergeCell ref="A34:A72"/>
    <mergeCell ref="A75:A92"/>
    <mergeCell ref="H35:H73"/>
    <mergeCell ref="H76:H9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4</vt:i4>
      </vt:variant>
    </vt:vector>
  </HeadingPairs>
  <TitlesOfParts>
    <vt:vector size="58" baseType="lpstr">
      <vt:lpstr>Guidance</vt:lpstr>
      <vt:lpstr>Summary_for Web-1</vt:lpstr>
      <vt:lpstr>Summary_for Web-2</vt:lpstr>
      <vt:lpstr>Contributions</vt:lpstr>
      <vt:lpstr>Shared Building Allocation</vt:lpstr>
      <vt:lpstr>Summary_by School</vt:lpstr>
      <vt:lpstr>Summary_by Phase</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20857</vt:lpstr>
      <vt:lpstr>20885</vt:lpstr>
      <vt:lpstr>20911</vt:lpstr>
      <vt:lpstr>20912</vt:lpstr>
      <vt:lpstr>20913</vt:lpstr>
      <vt:lpstr>20936</vt:lpstr>
      <vt:lpstr>20945</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2024-04-17T19:02:01Z</cp:lastPrinted>
  <dcterms:created xsi:type="dcterms:W3CDTF">2021-08-31T18:33:23Z</dcterms:created>
  <dcterms:modified xsi:type="dcterms:W3CDTF">2024-04-17T19:17:51Z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