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FandA\8-Facility_Renewal\Reporting\Reports\"/>
    </mc:Choice>
  </mc:AlternateContent>
  <xr:revisionPtr revIDLastSave="0" documentId="13_ncr:1_{C6BD3F0C-1C55-4F85-96AD-EF649404F969}" xr6:coauthVersionLast="47" xr6:coauthVersionMax="47" xr10:uidLastSave="{00000000-0000-0000-0000-000000000000}"/>
  <bookViews>
    <workbookView xWindow="-24120" yWindow="-120" windowWidth="24240" windowHeight="13020" tabRatio="894" activeTab="1" xr2:uid="{382D63A7-A064-43C4-BB7D-7DDF2E98A281}"/>
  </bookViews>
  <sheets>
    <sheet name="Guidance" sheetId="47" r:id="rId1"/>
    <sheet name="Summary_for Web-1" sheetId="18" r:id="rId2"/>
    <sheet name="Summary_for Web-2" sheetId="17" r:id="rId3"/>
    <sheet name="Contributions" sheetId="7" r:id="rId4"/>
    <sheet name="Shared Building Allocation" sheetId="8" r:id="rId5"/>
    <sheet name="Summary_by School" sheetId="9" r:id="rId6"/>
    <sheet name="Summary_by Phase" sheetId="49" r:id="rId7"/>
    <sheet name="Project Status" sheetId="3" r:id="rId8"/>
    <sheet name="Summary_by FY" sheetId="41" r:id="rId9"/>
    <sheet name="10085" sheetId="24" state="hidden" r:id="rId10"/>
    <sheet name="10098" sheetId="10" state="hidden" r:id="rId11"/>
    <sheet name="10146" sheetId="29" r:id="rId12"/>
    <sheet name="20179" sheetId="12" r:id="rId13"/>
    <sheet name="20336" sheetId="15" r:id="rId14"/>
    <sheet name="20431" sheetId="20" r:id="rId15"/>
    <sheet name="20478" sheetId="34" r:id="rId16"/>
    <sheet name="20489" sheetId="35" r:id="rId17"/>
    <sheet name="20497" sheetId="13" state="hidden" r:id="rId18"/>
    <sheet name="20506" sheetId="38" state="hidden" r:id="rId19"/>
    <sheet name="20562" sheetId="32" r:id="rId20"/>
    <sheet name="20566" sheetId="14" state="hidden" r:id="rId21"/>
    <sheet name="20573" sheetId="36" r:id="rId22"/>
    <sheet name="20574" sheetId="21" r:id="rId23"/>
    <sheet name="20577" sheetId="16" r:id="rId24"/>
    <sheet name="20644" sheetId="31" r:id="rId25"/>
    <sheet name="20645" sheetId="46" r:id="rId26"/>
    <sheet name="20667" sheetId="19" r:id="rId27"/>
    <sheet name="20668" sheetId="22" r:id="rId28"/>
    <sheet name="20698" sheetId="27" r:id="rId29"/>
    <sheet name="20700" sheetId="30" state="hidden" r:id="rId30"/>
    <sheet name="20701" sheetId="39" r:id="rId31"/>
    <sheet name="20702" sheetId="26" state="hidden" r:id="rId32"/>
    <sheet name="20718" sheetId="44" r:id="rId33"/>
    <sheet name="20723" sheetId="37" r:id="rId34"/>
    <sheet name="20724" sheetId="33" r:id="rId35"/>
    <sheet name="20735" sheetId="42" r:id="rId36"/>
    <sheet name="20771" sheetId="40" state="hidden" r:id="rId37"/>
    <sheet name="20792" sheetId="45" state="hidden" r:id="rId38"/>
    <sheet name="20831" sheetId="51" r:id="rId39"/>
    <sheet name="20832" sheetId="50" r:id="rId40"/>
    <sheet name="20833" sheetId="52" r:id="rId41"/>
    <sheet name="20857" sheetId="53" r:id="rId42"/>
    <sheet name="20885" sheetId="58" r:id="rId43"/>
    <sheet name="20911" sheetId="56" r:id="rId44"/>
    <sheet name="20912" sheetId="55" r:id="rId45"/>
    <sheet name="20913" sheetId="57" r:id="rId46"/>
    <sheet name="JE LOG_FY23" sheetId="11" r:id="rId47"/>
    <sheet name="JE LOG_FY24" sheetId="48" r:id="rId48"/>
    <sheet name="lookup" sheetId="25" r:id="rId49"/>
    <sheet name="PUC GSF" sheetId="1" state="hidden" r:id="rId50"/>
    <sheet name="Notes" sheetId="6" state="hidden" r:id="rId51"/>
  </sheets>
  <definedNames>
    <definedName name="_xlnm._FilterDatabase" localSheetId="7" hidden="1">'Project Status'!$A$3:$P$52</definedName>
    <definedName name="JE">'10098'!$E$9:$H$12</definedName>
    <definedName name="list" localSheetId="47">'JE LOG_FY24'!$T:$T</definedName>
    <definedName name="list">'JE LOG_FY23'!$T:$T</definedName>
    <definedName name="_xlnm.Print_Area" localSheetId="4">'Shared Building Allocation'!$A$1:$G$15</definedName>
    <definedName name="Slicer_Building">#N/A</definedName>
    <definedName name="Slicer_Capex___opex">#N/A</definedName>
    <definedName name="Slicer_Lookup">#N/A</definedName>
    <definedName name="Slicer_Phase">#N/A</definedName>
  </definedNames>
  <calcPr calcId="191029"/>
  <pivotCaches>
    <pivotCache cacheId="0" r:id="rId52"/>
  </pivotCaches>
  <extLst>
    <ext xmlns:x14="http://schemas.microsoft.com/office/spreadsheetml/2009/9/main" uri="{BBE1A952-AA13-448e-AADC-164F8A28A991}">
      <x14:slicerCaches>
        <x14:slicerCache r:id="rId53"/>
        <x14:slicerCache r:id="rId54"/>
        <x14:slicerCache r:id="rId55"/>
        <x14:slicerCache r:id="rId5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18" l="1"/>
  <c r="A40" i="17"/>
  <c r="A41" i="17" s="1"/>
  <c r="A42" i="17" s="1"/>
  <c r="A43" i="17" s="1"/>
  <c r="A44" i="17" s="1"/>
  <c r="A45" i="17" s="1"/>
  <c r="A46" i="17" s="1"/>
  <c r="A47" i="17" s="1"/>
  <c r="A48" i="17" s="1"/>
  <c r="A49" i="17" s="1"/>
  <c r="A50" i="17" s="1"/>
  <c r="A51" i="17" s="1"/>
  <c r="A52" i="17" s="1"/>
  <c r="A53" i="17" s="1"/>
  <c r="J76" i="41"/>
  <c r="K76" i="41" s="1"/>
  <c r="D76" i="41"/>
  <c r="E76" i="41"/>
  <c r="F76" i="41"/>
  <c r="G76" i="41"/>
  <c r="T44" i="3"/>
  <c r="T43" i="3"/>
  <c r="T42" i="3"/>
  <c r="T40" i="3"/>
  <c r="K16" i="34"/>
  <c r="J16" i="34"/>
  <c r="R65" i="3"/>
  <c r="T47" i="48"/>
  <c r="S58" i="48"/>
  <c r="T57" i="48"/>
  <c r="S57" i="48"/>
  <c r="R57" i="48"/>
  <c r="S52" i="48"/>
  <c r="J61" i="41"/>
  <c r="J60" i="41"/>
  <c r="J59" i="41"/>
  <c r="J58" i="41"/>
  <c r="J57" i="41"/>
  <c r="J56" i="41"/>
  <c r="J55" i="41"/>
  <c r="S35" i="3"/>
  <c r="R35" i="3"/>
  <c r="H18" i="45"/>
  <c r="S27" i="3"/>
  <c r="R27" i="3"/>
  <c r="I60" i="41"/>
  <c r="I61" i="41"/>
  <c r="D60" i="41"/>
  <c r="E60" i="41"/>
  <c r="F60" i="41"/>
  <c r="G60" i="41"/>
  <c r="D61" i="41"/>
  <c r="E61" i="41"/>
  <c r="F61" i="41"/>
  <c r="G61" i="41"/>
  <c r="D59" i="41"/>
  <c r="E59" i="41"/>
  <c r="F59" i="41"/>
  <c r="G59" i="41"/>
  <c r="D55" i="41"/>
  <c r="E55" i="41"/>
  <c r="F55" i="41"/>
  <c r="G55" i="41"/>
  <c r="D56" i="41"/>
  <c r="E56" i="41"/>
  <c r="F56" i="41"/>
  <c r="G56" i="41"/>
  <c r="D57" i="41"/>
  <c r="E57" i="41"/>
  <c r="F57" i="41"/>
  <c r="G57" i="41"/>
  <c r="D58" i="41"/>
  <c r="E58" i="41"/>
  <c r="F58" i="41"/>
  <c r="G58" i="41"/>
  <c r="S16" i="3"/>
  <c r="I58" i="41" s="1"/>
  <c r="R16" i="3"/>
  <c r="H18" i="14"/>
  <c r="E47" i="17"/>
  <c r="F47" i="17"/>
  <c r="G47" i="17"/>
  <c r="H47" i="17"/>
  <c r="E48" i="17"/>
  <c r="F48" i="17"/>
  <c r="G48" i="17"/>
  <c r="H48" i="17"/>
  <c r="E49" i="17"/>
  <c r="F49" i="17"/>
  <c r="G49" i="17"/>
  <c r="H49" i="17"/>
  <c r="E50" i="17"/>
  <c r="F50" i="17"/>
  <c r="G50" i="17"/>
  <c r="H50" i="17"/>
  <c r="E51" i="17"/>
  <c r="F51" i="17"/>
  <c r="G51" i="17"/>
  <c r="H51" i="17"/>
  <c r="E52" i="17"/>
  <c r="F52" i="17"/>
  <c r="G52" i="17"/>
  <c r="H52" i="17"/>
  <c r="E53" i="17"/>
  <c r="F53" i="17"/>
  <c r="G53" i="17"/>
  <c r="B47" i="17"/>
  <c r="B48" i="17"/>
  <c r="B49" i="17"/>
  <c r="B50" i="17"/>
  <c r="B51" i="17"/>
  <c r="B52" i="17"/>
  <c r="B53" i="17"/>
  <c r="J71" i="41"/>
  <c r="K71" i="41" s="1"/>
  <c r="J72" i="41"/>
  <c r="K72" i="41" s="1"/>
  <c r="J73" i="41"/>
  <c r="K73" i="41" s="1"/>
  <c r="J74" i="41"/>
  <c r="K74" i="41" s="1"/>
  <c r="J75" i="41"/>
  <c r="K75" i="41" s="1"/>
  <c r="D71" i="41"/>
  <c r="E71" i="41"/>
  <c r="F71" i="41"/>
  <c r="G71" i="41"/>
  <c r="D72" i="41"/>
  <c r="E72" i="41"/>
  <c r="F72" i="41"/>
  <c r="G72" i="41"/>
  <c r="D73" i="41"/>
  <c r="E73" i="41"/>
  <c r="F73" i="41"/>
  <c r="G73" i="41"/>
  <c r="D74" i="41"/>
  <c r="E74" i="41"/>
  <c r="F74" i="41"/>
  <c r="G74" i="41"/>
  <c r="D75" i="41"/>
  <c r="E75" i="41"/>
  <c r="F75" i="41"/>
  <c r="G75" i="41"/>
  <c r="Y45" i="3"/>
  <c r="Y46" i="3"/>
  <c r="Y47" i="3"/>
  <c r="Y48" i="3"/>
  <c r="Y49" i="3"/>
  <c r="D47" i="17"/>
  <c r="G45" i="3"/>
  <c r="D48" i="17" s="1"/>
  <c r="G46" i="3"/>
  <c r="D49" i="17" s="1"/>
  <c r="G47" i="3"/>
  <c r="D50" i="17" s="1"/>
  <c r="G48" i="3"/>
  <c r="D51" i="17" s="1"/>
  <c r="G49" i="3"/>
  <c r="D52" i="17" s="1"/>
  <c r="S44" i="3"/>
  <c r="S43" i="3"/>
  <c r="S42" i="3"/>
  <c r="S41" i="3"/>
  <c r="H18" i="58"/>
  <c r="H4" i="58"/>
  <c r="G4" i="58"/>
  <c r="F4" i="58"/>
  <c r="E4" i="58"/>
  <c r="D4" i="58"/>
  <c r="C4" i="58"/>
  <c r="B4" i="58"/>
  <c r="I52" i="41"/>
  <c r="J52" i="41"/>
  <c r="K52" i="41" s="1"/>
  <c r="D52" i="41"/>
  <c r="E52" i="41"/>
  <c r="F52" i="41"/>
  <c r="G52" i="41"/>
  <c r="J70" i="41"/>
  <c r="K70" i="41" s="1"/>
  <c r="D70" i="41"/>
  <c r="E70" i="41"/>
  <c r="F70" i="41"/>
  <c r="G70" i="41"/>
  <c r="U7" i="3"/>
  <c r="U8" i="3"/>
  <c r="U11" i="3"/>
  <c r="U14" i="3"/>
  <c r="U15" i="3"/>
  <c r="U16" i="3"/>
  <c r="U17" i="3"/>
  <c r="U18" i="3"/>
  <c r="U19" i="3"/>
  <c r="U20" i="3"/>
  <c r="U21" i="3"/>
  <c r="U22" i="3"/>
  <c r="U26" i="3"/>
  <c r="U27" i="3"/>
  <c r="U28" i="3"/>
  <c r="U29" i="3"/>
  <c r="U31" i="3"/>
  <c r="U32" i="3"/>
  <c r="U34" i="3"/>
  <c r="U35" i="3"/>
  <c r="U39" i="3"/>
  <c r="U50" i="3"/>
  <c r="K60" i="41" l="1"/>
  <c r="K58" i="41"/>
  <c r="K61" i="41"/>
  <c r="H20" i="58"/>
  <c r="I49" i="41"/>
  <c r="I50" i="41"/>
  <c r="I51" i="41"/>
  <c r="U44" i="3"/>
  <c r="H46" i="17" s="1"/>
  <c r="U43" i="3"/>
  <c r="H45" i="17" s="1"/>
  <c r="U42" i="3"/>
  <c r="H44" i="17" s="1"/>
  <c r="D49" i="41"/>
  <c r="E49" i="41"/>
  <c r="F49" i="41"/>
  <c r="G49" i="41"/>
  <c r="D50" i="41"/>
  <c r="E50" i="41"/>
  <c r="F50" i="41"/>
  <c r="G50" i="41"/>
  <c r="D51" i="41"/>
  <c r="E51" i="41"/>
  <c r="F51" i="41"/>
  <c r="G51" i="41"/>
  <c r="V52" i="3"/>
  <c r="Q52" i="3"/>
  <c r="P52" i="3"/>
  <c r="O52" i="3"/>
  <c r="N52" i="3"/>
  <c r="M52" i="3"/>
  <c r="L52" i="3"/>
  <c r="T51" i="3"/>
  <c r="U51" i="3" s="1"/>
  <c r="H53" i="17" s="1"/>
  <c r="H18" i="57"/>
  <c r="H4" i="57"/>
  <c r="H20" i="57" s="1"/>
  <c r="G4" i="57"/>
  <c r="F4" i="57"/>
  <c r="E4" i="57"/>
  <c r="D4" i="57"/>
  <c r="C4" i="57"/>
  <c r="B4" i="57"/>
  <c r="H18" i="56"/>
  <c r="H4" i="56"/>
  <c r="H20" i="56" s="1"/>
  <c r="G4" i="56"/>
  <c r="F4" i="56"/>
  <c r="E4" i="56"/>
  <c r="D4" i="56"/>
  <c r="C4" i="56"/>
  <c r="B4" i="56"/>
  <c r="H18" i="55"/>
  <c r="H4" i="55"/>
  <c r="G4" i="55"/>
  <c r="F4" i="55"/>
  <c r="E4" i="55"/>
  <c r="D4" i="55"/>
  <c r="C4" i="55"/>
  <c r="B4" i="55"/>
  <c r="E43" i="17"/>
  <c r="E44" i="17"/>
  <c r="E45" i="17"/>
  <c r="E46" i="17"/>
  <c r="G46" i="17"/>
  <c r="F46" i="17"/>
  <c r="G45" i="17"/>
  <c r="F45" i="17"/>
  <c r="G44" i="17"/>
  <c r="F44" i="17"/>
  <c r="G43" i="17"/>
  <c r="F43" i="17"/>
  <c r="G42" i="17"/>
  <c r="F42" i="17"/>
  <c r="H41" i="17"/>
  <c r="G41" i="17"/>
  <c r="F41" i="17"/>
  <c r="G40" i="17"/>
  <c r="F40" i="17"/>
  <c r="G39" i="17"/>
  <c r="F39" i="17"/>
  <c r="G38" i="17"/>
  <c r="F38" i="17"/>
  <c r="H37" i="17"/>
  <c r="F37" i="17"/>
  <c r="H36" i="17"/>
  <c r="G36" i="17"/>
  <c r="F36" i="17"/>
  <c r="F35" i="17"/>
  <c r="H34" i="17"/>
  <c r="G34" i="17"/>
  <c r="F34" i="17"/>
  <c r="H33" i="17"/>
  <c r="F33" i="17"/>
  <c r="F32" i="17"/>
  <c r="H31" i="17"/>
  <c r="F31" i="17"/>
  <c r="H30" i="17"/>
  <c r="F30" i="17"/>
  <c r="H29" i="17"/>
  <c r="F29" i="17"/>
  <c r="H28" i="17"/>
  <c r="F28" i="17"/>
  <c r="F27" i="17"/>
  <c r="F26" i="17"/>
  <c r="F25" i="17"/>
  <c r="H24" i="17"/>
  <c r="F24" i="17"/>
  <c r="H23" i="17"/>
  <c r="F23" i="17"/>
  <c r="H22" i="17"/>
  <c r="F22" i="17"/>
  <c r="H21" i="17"/>
  <c r="F21" i="17"/>
  <c r="H20" i="17"/>
  <c r="F20" i="17"/>
  <c r="H19" i="17"/>
  <c r="F19" i="17"/>
  <c r="H18" i="17"/>
  <c r="F18" i="17"/>
  <c r="H17" i="17"/>
  <c r="G17" i="17"/>
  <c r="F17" i="17"/>
  <c r="H16" i="17"/>
  <c r="F16" i="17"/>
  <c r="F15" i="17"/>
  <c r="F14" i="17"/>
  <c r="H13" i="17"/>
  <c r="F13" i="17"/>
  <c r="F12" i="17"/>
  <c r="F11" i="17"/>
  <c r="H10" i="17"/>
  <c r="F10" i="17"/>
  <c r="H9" i="17"/>
  <c r="F9" i="17"/>
  <c r="F8" i="17"/>
  <c r="F7" i="17"/>
  <c r="E7" i="17"/>
  <c r="E8" i="17"/>
  <c r="E9" i="17"/>
  <c r="E10" i="17"/>
  <c r="E11"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E42"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6" i="17"/>
  <c r="S38" i="48"/>
  <c r="S48" i="48"/>
  <c r="S31" i="48"/>
  <c r="S37" i="48"/>
  <c r="R37" i="48"/>
  <c r="S30" i="48"/>
  <c r="R30" i="48"/>
  <c r="S47" i="48"/>
  <c r="R47" i="48"/>
  <c r="J50" i="41" l="1"/>
  <c r="K50" i="41" s="1"/>
  <c r="J49" i="41"/>
  <c r="K49" i="41" s="1"/>
  <c r="J51" i="41"/>
  <c r="K51" i="41" s="1"/>
  <c r="H20" i="55"/>
  <c r="S5" i="3"/>
  <c r="I55" i="41" s="1"/>
  <c r="K55" i="41" s="1"/>
  <c r="S40" i="3"/>
  <c r="U40" i="3" s="1"/>
  <c r="H42" i="17" s="1"/>
  <c r="S24" i="3"/>
  <c r="U24" i="3" s="1"/>
  <c r="H26" i="17" s="1"/>
  <c r="S6" i="3"/>
  <c r="U6" i="3" s="1"/>
  <c r="H8" i="17" s="1"/>
  <c r="H18" i="10"/>
  <c r="B4" i="52"/>
  <c r="H15" i="29"/>
  <c r="Y50" i="3"/>
  <c r="Y40" i="3"/>
  <c r="Y51" i="3"/>
  <c r="Y44" i="3"/>
  <c r="Y43" i="3"/>
  <c r="Y42" i="3"/>
  <c r="Y41" i="3"/>
  <c r="Y38" i="3"/>
  <c r="G42" i="3"/>
  <c r="D44" i="17" s="1"/>
  <c r="G43" i="3"/>
  <c r="D45" i="17" s="1"/>
  <c r="G44" i="3"/>
  <c r="D46" i="17" s="1"/>
  <c r="G51" i="3"/>
  <c r="D53" i="17" s="1"/>
  <c r="G41" i="3"/>
  <c r="D43" i="17" s="1"/>
  <c r="G40" i="3"/>
  <c r="D42" i="17" s="1"/>
  <c r="G39" i="3"/>
  <c r="D41" i="17" s="1"/>
  <c r="R24" i="3"/>
  <c r="G26" i="17" s="1"/>
  <c r="U41" i="3" l="1"/>
  <c r="H43" i="17" s="1"/>
  <c r="T52" i="3"/>
  <c r="J89" i="41"/>
  <c r="K89" i="41" s="1"/>
  <c r="D89" i="41"/>
  <c r="E89" i="41"/>
  <c r="F89" i="41"/>
  <c r="G89" i="41"/>
  <c r="H4" i="33"/>
  <c r="S30" i="3"/>
  <c r="U30" i="3" s="1"/>
  <c r="H32" i="17" s="1"/>
  <c r="R30" i="3"/>
  <c r="G32" i="17" s="1"/>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D47" i="41"/>
  <c r="E47" i="41"/>
  <c r="F47" i="41"/>
  <c r="G47" i="41"/>
  <c r="I47" i="41"/>
  <c r="J47" i="41"/>
  <c r="D48" i="41"/>
  <c r="E48" i="41"/>
  <c r="F48" i="41"/>
  <c r="G48" i="41"/>
  <c r="I48" i="41"/>
  <c r="J48" i="41"/>
  <c r="D69" i="41"/>
  <c r="E69" i="41"/>
  <c r="F69" i="41"/>
  <c r="G69" i="41"/>
  <c r="J69" i="41"/>
  <c r="K69" i="41" s="1"/>
  <c r="D88" i="41"/>
  <c r="E88" i="41"/>
  <c r="F88" i="41"/>
  <c r="G88" i="41"/>
  <c r="J88" i="41"/>
  <c r="K88" i="41" s="1"/>
  <c r="H17" i="20"/>
  <c r="S33" i="3"/>
  <c r="R33" i="3"/>
  <c r="G35" i="17" s="1"/>
  <c r="R31" i="3"/>
  <c r="G33" i="17" s="1"/>
  <c r="R29" i="3"/>
  <c r="G31" i="17" s="1"/>
  <c r="R28" i="3"/>
  <c r="G30" i="17" s="1"/>
  <c r="R26" i="3"/>
  <c r="G28" i="17" s="1"/>
  <c r="R25" i="3"/>
  <c r="G27" i="17" s="1"/>
  <c r="S23" i="3"/>
  <c r="U23" i="3" s="1"/>
  <c r="H25" i="17" s="1"/>
  <c r="R23" i="3"/>
  <c r="G25" i="17" s="1"/>
  <c r="R22" i="3"/>
  <c r="G24" i="17" s="1"/>
  <c r="R21" i="3"/>
  <c r="G23" i="17" s="1"/>
  <c r="R20" i="3"/>
  <c r="G22" i="17" s="1"/>
  <c r="R19" i="3"/>
  <c r="G21" i="17" s="1"/>
  <c r="R18" i="3"/>
  <c r="G20" i="17" s="1"/>
  <c r="R17" i="3"/>
  <c r="G19" i="17" s="1"/>
  <c r="R14" i="3"/>
  <c r="G16" i="17" s="1"/>
  <c r="S13" i="3"/>
  <c r="R13" i="3"/>
  <c r="G15" i="17" s="1"/>
  <c r="S12" i="3"/>
  <c r="R12" i="3"/>
  <c r="G14" i="17" s="1"/>
  <c r="R11" i="3"/>
  <c r="G13" i="17" s="1"/>
  <c r="R10" i="3"/>
  <c r="G12" i="17" s="1"/>
  <c r="R9" i="3"/>
  <c r="G11" i="17" s="1"/>
  <c r="R8" i="3"/>
  <c r="G10" i="17" s="1"/>
  <c r="R7" i="3"/>
  <c r="G9" i="17" s="1"/>
  <c r="R6" i="3"/>
  <c r="G8" i="17" s="1"/>
  <c r="R5" i="3"/>
  <c r="G7" i="17" s="1"/>
  <c r="R4" i="3"/>
  <c r="H18" i="40"/>
  <c r="H18" i="38"/>
  <c r="H18" i="13"/>
  <c r="H18" i="24"/>
  <c r="U13" i="3" l="1"/>
  <c r="I57" i="41"/>
  <c r="K57" i="41" s="1"/>
  <c r="U33" i="3"/>
  <c r="H35" i="17" s="1"/>
  <c r="I59" i="41"/>
  <c r="K59" i="41" s="1"/>
  <c r="U12" i="3"/>
  <c r="I56" i="41"/>
  <c r="K56" i="41" s="1"/>
  <c r="G6" i="17"/>
  <c r="K47" i="41"/>
  <c r="K48" i="41"/>
  <c r="Y39" i="3"/>
  <c r="D68" i="41"/>
  <c r="E68" i="41"/>
  <c r="F68" i="41"/>
  <c r="G68" i="41"/>
  <c r="H18" i="53"/>
  <c r="H4" i="53"/>
  <c r="G4" i="53"/>
  <c r="F4" i="53"/>
  <c r="E4" i="53"/>
  <c r="D4" i="53"/>
  <c r="C4" i="53"/>
  <c r="B4" i="53"/>
  <c r="D46" i="41"/>
  <c r="E46" i="41"/>
  <c r="F46" i="41"/>
  <c r="G46" i="41"/>
  <c r="I46" i="41"/>
  <c r="J46" i="41"/>
  <c r="W11" i="3"/>
  <c r="W52" i="3" s="1"/>
  <c r="Y5" i="3"/>
  <c r="Y6" i="3"/>
  <c r="Y7" i="3"/>
  <c r="Y8" i="3"/>
  <c r="Y9" i="3"/>
  <c r="Y10" i="3"/>
  <c r="Y11" i="3"/>
  <c r="Y12" i="3"/>
  <c r="Y13" i="3"/>
  <c r="Y14" i="3"/>
  <c r="Y15" i="3"/>
  <c r="Y16" i="3"/>
  <c r="Y17" i="3"/>
  <c r="Y18" i="3"/>
  <c r="Y19" i="3"/>
  <c r="Y20" i="3"/>
  <c r="Y21" i="3"/>
  <c r="Y22" i="3"/>
  <c r="Y23" i="3"/>
  <c r="Y24" i="3"/>
  <c r="Y25" i="3"/>
  <c r="Y26" i="3"/>
  <c r="Y27" i="3"/>
  <c r="Y28" i="3"/>
  <c r="Y29" i="3"/>
  <c r="Y30" i="3"/>
  <c r="Y31" i="3"/>
  <c r="Y32" i="3"/>
  <c r="Y33" i="3"/>
  <c r="Y34" i="3"/>
  <c r="Y35" i="3"/>
  <c r="Y36" i="3"/>
  <c r="Y37" i="3"/>
  <c r="Y4" i="3"/>
  <c r="I108" i="41"/>
  <c r="H87" i="41"/>
  <c r="G87" i="41"/>
  <c r="F87" i="41"/>
  <c r="E87" i="41"/>
  <c r="D87" i="41"/>
  <c r="K46" i="41" l="1"/>
  <c r="J87" i="41"/>
  <c r="J108" i="41" s="1"/>
  <c r="J68" i="41"/>
  <c r="K68" i="41" s="1"/>
  <c r="H20" i="53"/>
  <c r="H20" i="20"/>
  <c r="J67" i="41"/>
  <c r="J66" i="41"/>
  <c r="I17" i="41"/>
  <c r="I18" i="41"/>
  <c r="I19" i="41"/>
  <c r="I20" i="41"/>
  <c r="I21" i="41"/>
  <c r="I23" i="41"/>
  <c r="I24" i="41"/>
  <c r="I26" i="41"/>
  <c r="I27" i="41"/>
  <c r="I29" i="41"/>
  <c r="I30" i="41"/>
  <c r="I4" i="41"/>
  <c r="I5" i="41"/>
  <c r="I6" i="41"/>
  <c r="I7" i="41"/>
  <c r="I8" i="41"/>
  <c r="I9" i="41"/>
  <c r="I10" i="41"/>
  <c r="I11" i="41"/>
  <c r="I12" i="41"/>
  <c r="I13" i="41"/>
  <c r="I15" i="41"/>
  <c r="I16" i="41"/>
  <c r="I3" i="41"/>
  <c r="I42" i="41"/>
  <c r="I43" i="41"/>
  <c r="J37" i="41"/>
  <c r="J38" i="41"/>
  <c r="J39" i="41"/>
  <c r="J40" i="41"/>
  <c r="J41" i="41"/>
  <c r="J44" i="41"/>
  <c r="J35" i="41"/>
  <c r="J43" i="41" l="1"/>
  <c r="K43" i="41" s="1"/>
  <c r="K87" i="41"/>
  <c r="K108" i="41" s="1"/>
  <c r="L108" i="41" s="1"/>
  <c r="D36" i="41" l="1"/>
  <c r="E36" i="41"/>
  <c r="F36" i="41"/>
  <c r="G36" i="41"/>
  <c r="D37" i="41"/>
  <c r="E37" i="41"/>
  <c r="F37" i="41"/>
  <c r="G37" i="41"/>
  <c r="D38" i="41"/>
  <c r="E38" i="41"/>
  <c r="F38" i="41"/>
  <c r="G38" i="41"/>
  <c r="D39" i="41"/>
  <c r="E39" i="41"/>
  <c r="F39" i="41"/>
  <c r="G39" i="41"/>
  <c r="D40" i="41"/>
  <c r="E40" i="41"/>
  <c r="F40" i="41"/>
  <c r="G40" i="41"/>
  <c r="D41" i="41"/>
  <c r="E41" i="41"/>
  <c r="F41" i="41"/>
  <c r="G41" i="41"/>
  <c r="D42" i="41"/>
  <c r="E42" i="41"/>
  <c r="F42" i="41"/>
  <c r="G42" i="41"/>
  <c r="D43" i="41"/>
  <c r="E43" i="41"/>
  <c r="F43" i="41"/>
  <c r="G43" i="41"/>
  <c r="D44" i="41"/>
  <c r="E44" i="41"/>
  <c r="F44" i="41"/>
  <c r="G44" i="41"/>
  <c r="D45" i="41"/>
  <c r="E45" i="41"/>
  <c r="F45" i="41"/>
  <c r="G45" i="41"/>
  <c r="D35" i="41"/>
  <c r="U56" i="3"/>
  <c r="S25" i="3"/>
  <c r="I41" i="41" l="1"/>
  <c r="K41" i="41" s="1"/>
  <c r="U25" i="3"/>
  <c r="H27" i="17" s="1"/>
  <c r="S9" i="3"/>
  <c r="S37" i="3"/>
  <c r="U37" i="3" s="1"/>
  <c r="H39" i="17" s="1"/>
  <c r="S36" i="3"/>
  <c r="U36" i="3" s="1"/>
  <c r="H38" i="17" s="1"/>
  <c r="S38" i="3"/>
  <c r="U38" i="3" s="1"/>
  <c r="H40" i="17" s="1"/>
  <c r="H18" i="52"/>
  <c r="H4" i="52"/>
  <c r="H20" i="52" s="1"/>
  <c r="G4" i="52"/>
  <c r="F4" i="52"/>
  <c r="E4" i="52"/>
  <c r="D4" i="52"/>
  <c r="C4" i="52"/>
  <c r="H18" i="51"/>
  <c r="H4" i="51"/>
  <c r="H20" i="51" s="1"/>
  <c r="G4" i="51"/>
  <c r="F4" i="51"/>
  <c r="E4" i="51"/>
  <c r="D4" i="51"/>
  <c r="C4" i="51"/>
  <c r="B4" i="51"/>
  <c r="H66" i="41"/>
  <c r="K6" i="7"/>
  <c r="K7" i="7"/>
  <c r="K8" i="7"/>
  <c r="K9" i="7"/>
  <c r="K10" i="7"/>
  <c r="K11" i="7"/>
  <c r="K12" i="7"/>
  <c r="K13" i="7"/>
  <c r="K5" i="7"/>
  <c r="I36" i="41" l="1"/>
  <c r="U9" i="3"/>
  <c r="H11" i="17" s="1"/>
  <c r="J45" i="41"/>
  <c r="I44" i="41"/>
  <c r="K44" i="41" s="1"/>
  <c r="I38" i="41"/>
  <c r="K38" i="41" s="1"/>
  <c r="I39" i="41"/>
  <c r="K39" i="41" s="1"/>
  <c r="I45" i="41"/>
  <c r="I40" i="41"/>
  <c r="K40" i="41" s="1"/>
  <c r="I35" i="41"/>
  <c r="K18" i="7"/>
  <c r="J14" i="7"/>
  <c r="G5" i="7"/>
  <c r="G6" i="7"/>
  <c r="G14" i="7" s="1"/>
  <c r="G7" i="7"/>
  <c r="G8" i="7"/>
  <c r="G9" i="7"/>
  <c r="G10" i="7"/>
  <c r="G11" i="7"/>
  <c r="G12" i="7"/>
  <c r="G13" i="7"/>
  <c r="F14" i="7"/>
  <c r="H18" i="50"/>
  <c r="H4" i="50"/>
  <c r="H20" i="50" s="1"/>
  <c r="G4" i="50"/>
  <c r="F4" i="50"/>
  <c r="E4" i="50"/>
  <c r="D4" i="50"/>
  <c r="C4" i="50"/>
  <c r="B4" i="50"/>
  <c r="I4" i="50" s="1"/>
  <c r="G36" i="3"/>
  <c r="D38" i="17" s="1"/>
  <c r="G37" i="3"/>
  <c r="D39" i="17" s="1"/>
  <c r="G38" i="3"/>
  <c r="D40" i="17" s="1"/>
  <c r="S10" i="3"/>
  <c r="I37" i="41" l="1"/>
  <c r="K37" i="41" s="1"/>
  <c r="U10" i="3"/>
  <c r="H12" i="17" s="1"/>
  <c r="S52" i="3"/>
  <c r="K45" i="41"/>
  <c r="K35" i="41"/>
  <c r="K14" i="7"/>
  <c r="K17" i="7" s="1"/>
  <c r="K19" i="7" s="1"/>
  <c r="H35" i="41"/>
  <c r="G17" i="7"/>
  <c r="C4" i="48"/>
  <c r="C5" i="48" s="1"/>
  <c r="I63" i="41" l="1"/>
  <c r="U61" i="3"/>
  <c r="H18" i="44"/>
  <c r="H13" i="44"/>
  <c r="U5" i="3" l="1"/>
  <c r="H7" i="17" s="1"/>
  <c r="H15" i="17"/>
  <c r="U4" i="3"/>
  <c r="E67" i="41"/>
  <c r="E66" i="41"/>
  <c r="E35" i="41"/>
  <c r="F67" i="41"/>
  <c r="F66" i="41"/>
  <c r="F35" i="41"/>
  <c r="G67" i="41"/>
  <c r="G66" i="41"/>
  <c r="G31" i="41"/>
  <c r="G30" i="41"/>
  <c r="G29" i="41"/>
  <c r="G28" i="41"/>
  <c r="G27" i="41"/>
  <c r="G26" i="41"/>
  <c r="G25" i="41"/>
  <c r="G24" i="41"/>
  <c r="G23" i="41"/>
  <c r="G22" i="41"/>
  <c r="G21" i="41"/>
  <c r="G20" i="41"/>
  <c r="G19" i="41"/>
  <c r="G18" i="41"/>
  <c r="G17" i="41"/>
  <c r="G16" i="41"/>
  <c r="G15" i="41"/>
  <c r="G14" i="41"/>
  <c r="G13" i="41"/>
  <c r="G12" i="41"/>
  <c r="G11" i="41"/>
  <c r="G10" i="41"/>
  <c r="G9" i="41"/>
  <c r="G8" i="41"/>
  <c r="G7" i="41"/>
  <c r="G6" i="41"/>
  <c r="G5" i="41"/>
  <c r="G4" i="41"/>
  <c r="G3" i="41"/>
  <c r="G35" i="41"/>
  <c r="K66" i="41"/>
  <c r="I84" i="41"/>
  <c r="D67" i="41"/>
  <c r="D66" i="41"/>
  <c r="H6" i="17" l="1"/>
  <c r="U52" i="3"/>
  <c r="H14" i="17"/>
  <c r="K67" i="41"/>
  <c r="F3" i="41"/>
  <c r="E4" i="4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 i="41"/>
  <c r="D4" i="41"/>
  <c r="D5" i="41"/>
  <c r="D6" i="41"/>
  <c r="D7" i="41"/>
  <c r="D8" i="41"/>
  <c r="D9" i="41"/>
  <c r="D10" i="41"/>
  <c r="D11" i="41"/>
  <c r="D12" i="41"/>
  <c r="D13" i="41"/>
  <c r="D14" i="41"/>
  <c r="D15" i="41"/>
  <c r="D16" i="41"/>
  <c r="D17" i="41"/>
  <c r="D18" i="41"/>
  <c r="D19" i="41"/>
  <c r="D20" i="41"/>
  <c r="D21" i="41"/>
  <c r="D22" i="41"/>
  <c r="D23" i="41"/>
  <c r="D24" i="41"/>
  <c r="D25" i="41"/>
  <c r="D26" i="41"/>
  <c r="D27" i="41"/>
  <c r="D28" i="41"/>
  <c r="D29" i="41"/>
  <c r="D30" i="41"/>
  <c r="D31" i="41"/>
  <c r="D3" i="41"/>
  <c r="H11" i="44"/>
  <c r="L13" i="34"/>
  <c r="H18" i="34"/>
  <c r="H16" i="34"/>
  <c r="H14" i="34"/>
  <c r="H13" i="34"/>
  <c r="H54" i="17" l="1"/>
  <c r="K84" i="41"/>
  <c r="L84" i="41" s="1"/>
  <c r="J84" i="41"/>
  <c r="K19" i="41"/>
  <c r="K9" i="41"/>
  <c r="H18" i="46"/>
  <c r="H4" i="46"/>
  <c r="G4" i="46"/>
  <c r="F4" i="46"/>
  <c r="E4" i="46"/>
  <c r="D4" i="46"/>
  <c r="C4" i="46"/>
  <c r="B4" i="46"/>
  <c r="I4" i="46" s="1"/>
  <c r="H4" i="45"/>
  <c r="G4" i="45"/>
  <c r="F4" i="45"/>
  <c r="E4" i="45"/>
  <c r="D4" i="45"/>
  <c r="C4" i="45"/>
  <c r="B4" i="45"/>
  <c r="I4" i="45" s="1"/>
  <c r="H20" i="45" s="1"/>
  <c r="H4" i="44"/>
  <c r="H20" i="44" s="1"/>
  <c r="G4" i="44"/>
  <c r="F4" i="44"/>
  <c r="E4" i="44"/>
  <c r="D4" i="44"/>
  <c r="C4" i="44"/>
  <c r="B4" i="44"/>
  <c r="I4" i="44" s="1"/>
  <c r="G35" i="3"/>
  <c r="D37" i="17" s="1"/>
  <c r="H18" i="42"/>
  <c r="H4" i="42"/>
  <c r="G4" i="42"/>
  <c r="F4" i="42"/>
  <c r="E4" i="42"/>
  <c r="D4" i="42"/>
  <c r="C4" i="42"/>
  <c r="B4" i="42"/>
  <c r="I4" i="42" s="1"/>
  <c r="G37" i="17" l="1"/>
  <c r="I31" i="41"/>
  <c r="K31" i="41" s="1"/>
  <c r="K26" i="41"/>
  <c r="K29" i="41"/>
  <c r="H20" i="46"/>
  <c r="H20" i="42"/>
  <c r="G15" i="3"/>
  <c r="D17" i="17" s="1"/>
  <c r="H11" i="29"/>
  <c r="H18" i="39"/>
  <c r="H18" i="33"/>
  <c r="H18" i="37"/>
  <c r="H18" i="26"/>
  <c r="H18" i="30"/>
  <c r="H18" i="27"/>
  <c r="H18" i="22"/>
  <c r="H18" i="19"/>
  <c r="H18" i="31"/>
  <c r="H18" i="16"/>
  <c r="H18" i="21"/>
  <c r="H18" i="36"/>
  <c r="H18" i="32"/>
  <c r="H18" i="35"/>
  <c r="H18" i="15"/>
  <c r="H18" i="12"/>
  <c r="G29" i="3"/>
  <c r="D31" i="17" s="1"/>
  <c r="G30" i="3"/>
  <c r="D32" i="17" s="1"/>
  <c r="G31" i="3"/>
  <c r="D33" i="17" s="1"/>
  <c r="G32" i="3"/>
  <c r="D34" i="17" s="1"/>
  <c r="G33" i="3"/>
  <c r="D35" i="17" s="1"/>
  <c r="G34" i="3"/>
  <c r="D36" i="17" s="1"/>
  <c r="H4" i="40"/>
  <c r="G4" i="40"/>
  <c r="F4" i="40"/>
  <c r="E4" i="40"/>
  <c r="D4" i="40"/>
  <c r="C4" i="40"/>
  <c r="B4" i="40"/>
  <c r="I4" i="40" s="1"/>
  <c r="H20" i="40" s="1"/>
  <c r="H4" i="39"/>
  <c r="H20" i="39" s="1"/>
  <c r="G4" i="39"/>
  <c r="F4" i="39"/>
  <c r="E4" i="39"/>
  <c r="D4" i="39"/>
  <c r="C4" i="39"/>
  <c r="B4" i="39"/>
  <c r="G29" i="17" l="1"/>
  <c r="I25" i="41"/>
  <c r="K25" i="41" s="1"/>
  <c r="G18" i="17"/>
  <c r="R52" i="3"/>
  <c r="I14" i="41"/>
  <c r="K14" i="41" s="1"/>
  <c r="I22" i="41"/>
  <c r="K22" i="41" s="1"/>
  <c r="I28" i="41"/>
  <c r="K28" i="41" s="1"/>
  <c r="K12" i="41"/>
  <c r="K21" i="41"/>
  <c r="K5" i="41"/>
  <c r="K6" i="41"/>
  <c r="K15" i="41"/>
  <c r="K27" i="41"/>
  <c r="D20" i="8"/>
  <c r="K4" i="41"/>
  <c r="K7" i="41"/>
  <c r="K16" i="41"/>
  <c r="K23" i="41"/>
  <c r="K17" i="41"/>
  <c r="K30" i="41"/>
  <c r="K10" i="41"/>
  <c r="K18" i="41"/>
  <c r="K24" i="41"/>
  <c r="K13" i="41"/>
  <c r="K11" i="41"/>
  <c r="K20" i="41"/>
  <c r="G54" i="17" l="1"/>
  <c r="U62" i="3"/>
  <c r="J36" i="41"/>
  <c r="K36" i="41" s="1"/>
  <c r="J42" i="41"/>
  <c r="D23" i="8"/>
  <c r="D22" i="8"/>
  <c r="G27" i="3"/>
  <c r="D29" i="17" s="1"/>
  <c r="G28" i="3"/>
  <c r="D30" i="17" s="1"/>
  <c r="H4" i="38"/>
  <c r="G4" i="38"/>
  <c r="F4" i="38"/>
  <c r="E4" i="38"/>
  <c r="D4" i="38"/>
  <c r="C4" i="38"/>
  <c r="B4" i="38"/>
  <c r="I4" i="38" s="1"/>
  <c r="H20" i="38" s="1"/>
  <c r="G5" i="3"/>
  <c r="D7" i="17" s="1"/>
  <c r="G6" i="3"/>
  <c r="D8" i="17" s="1"/>
  <c r="G7" i="3"/>
  <c r="D9" i="17" s="1"/>
  <c r="G8" i="3"/>
  <c r="D10" i="17" s="1"/>
  <c r="G9" i="3"/>
  <c r="D11" i="17" s="1"/>
  <c r="G10" i="3"/>
  <c r="D12" i="17" s="1"/>
  <c r="G11" i="3"/>
  <c r="D13" i="17" s="1"/>
  <c r="G12" i="3"/>
  <c r="G13" i="3"/>
  <c r="D15" i="17" s="1"/>
  <c r="G14" i="3"/>
  <c r="D16" i="17" s="1"/>
  <c r="G16" i="3"/>
  <c r="D18" i="17" s="1"/>
  <c r="G17" i="3"/>
  <c r="D19" i="17" s="1"/>
  <c r="G18" i="3"/>
  <c r="D20" i="17" s="1"/>
  <c r="G19" i="3"/>
  <c r="D21" i="17" s="1"/>
  <c r="G20" i="3"/>
  <c r="D22" i="17" s="1"/>
  <c r="G21" i="3"/>
  <c r="D23" i="17" s="1"/>
  <c r="G22" i="3"/>
  <c r="D24" i="17" s="1"/>
  <c r="G23" i="3"/>
  <c r="D25" i="17" s="1"/>
  <c r="G24" i="3"/>
  <c r="D26" i="17" s="1"/>
  <c r="G25" i="3"/>
  <c r="D27" i="17" s="1"/>
  <c r="G26" i="3"/>
  <c r="D28" i="17" s="1"/>
  <c r="D14" i="17" l="1"/>
  <c r="K42" i="41"/>
  <c r="K63" i="41" s="1"/>
  <c r="J63" i="41"/>
  <c r="D24" i="8"/>
  <c r="E10" i="8"/>
  <c r="E5" i="8"/>
  <c r="H4" i="37"/>
  <c r="H20" i="37" s="1"/>
  <c r="G4" i="37"/>
  <c r="F4" i="37"/>
  <c r="E4" i="37"/>
  <c r="D4" i="37"/>
  <c r="C4" i="37"/>
  <c r="B4" i="37"/>
  <c r="C6" i="8"/>
  <c r="C7" i="8"/>
  <c r="C8" i="8"/>
  <c r="C9" i="8"/>
  <c r="C10" i="8"/>
  <c r="C11" i="8"/>
  <c r="C12" i="8"/>
  <c r="C13" i="8"/>
  <c r="C5" i="8"/>
  <c r="B22" i="18"/>
  <c r="B23" i="18"/>
  <c r="B24" i="18"/>
  <c r="B25" i="18"/>
  <c r="B26" i="18"/>
  <c r="B27" i="18"/>
  <c r="B28" i="18"/>
  <c r="B29" i="18"/>
  <c r="B21" i="18"/>
  <c r="H4" i="34"/>
  <c r="G4" i="34"/>
  <c r="F4" i="34"/>
  <c r="E4" i="34"/>
  <c r="D4" i="34"/>
  <c r="C4" i="34"/>
  <c r="B4" i="34"/>
  <c r="I4" i="34" s="1"/>
  <c r="H10" i="34"/>
  <c r="H4" i="36"/>
  <c r="H20" i="36" s="1"/>
  <c r="G4" i="36"/>
  <c r="F4" i="36"/>
  <c r="E4" i="36"/>
  <c r="D4" i="36"/>
  <c r="C4" i="36"/>
  <c r="B4" i="36"/>
  <c r="I4" i="36" s="1"/>
  <c r="H4" i="35"/>
  <c r="H20" i="35" s="1"/>
  <c r="G4" i="35"/>
  <c r="F4" i="35"/>
  <c r="E4" i="35"/>
  <c r="D4" i="35"/>
  <c r="C4" i="35"/>
  <c r="B4" i="35"/>
  <c r="H9" i="34"/>
  <c r="H20" i="33"/>
  <c r="G4" i="33"/>
  <c r="F4" i="33"/>
  <c r="E4" i="33"/>
  <c r="D4" i="33"/>
  <c r="C4" i="33"/>
  <c r="B4" i="33"/>
  <c r="H4" i="32"/>
  <c r="H20" i="32" s="1"/>
  <c r="G4" i="32"/>
  <c r="F4" i="32"/>
  <c r="E4" i="32"/>
  <c r="D4" i="32"/>
  <c r="C4" i="32"/>
  <c r="B4" i="32"/>
  <c r="I4" i="32" s="1"/>
  <c r="K13" i="20"/>
  <c r="H14" i="20" s="1"/>
  <c r="J13" i="20"/>
  <c r="H13" i="20" s="1"/>
  <c r="H4" i="31"/>
  <c r="H20" i="31" s="1"/>
  <c r="G4" i="31"/>
  <c r="F4" i="31"/>
  <c r="E4" i="31"/>
  <c r="D4" i="31"/>
  <c r="C4" i="31"/>
  <c r="B4" i="31"/>
  <c r="I4" i="31" s="1"/>
  <c r="H4" i="30"/>
  <c r="H20" i="30" s="1"/>
  <c r="G4" i="30"/>
  <c r="F4" i="30"/>
  <c r="E4" i="30"/>
  <c r="D4" i="30"/>
  <c r="C4" i="30"/>
  <c r="B4" i="30"/>
  <c r="I4" i="30" s="1"/>
  <c r="H20" i="34" l="1"/>
  <c r="H4" i="10"/>
  <c r="H4" i="12"/>
  <c r="H4" i="15"/>
  <c r="H20" i="15" s="1"/>
  <c r="H4" i="13"/>
  <c r="H4" i="14"/>
  <c r="H4" i="16"/>
  <c r="H20" i="16" s="1"/>
  <c r="H4" i="19"/>
  <c r="H20" i="19" s="1"/>
  <c r="H4" i="20"/>
  <c r="H22" i="20" s="1"/>
  <c r="H4" i="21"/>
  <c r="H20" i="21" s="1"/>
  <c r="H4" i="22"/>
  <c r="H20" i="22" s="1"/>
  <c r="H4" i="24"/>
  <c r="H4" i="26"/>
  <c r="H4" i="27"/>
  <c r="H20" i="27" s="1"/>
  <c r="H4" i="29"/>
  <c r="H20" i="29" s="1"/>
  <c r="G4" i="29" l="1"/>
  <c r="F4" i="29"/>
  <c r="E4" i="29"/>
  <c r="D4" i="29"/>
  <c r="C4" i="29"/>
  <c r="B4" i="29"/>
  <c r="G4" i="27"/>
  <c r="F4" i="27"/>
  <c r="E4" i="27"/>
  <c r="D4" i="27"/>
  <c r="C4" i="27"/>
  <c r="B4" i="27"/>
  <c r="G4" i="26"/>
  <c r="F4" i="26"/>
  <c r="E4" i="26"/>
  <c r="D4" i="26"/>
  <c r="C4" i="26"/>
  <c r="B4" i="26"/>
  <c r="I4" i="26" s="1"/>
  <c r="H20" i="26" s="1"/>
  <c r="B14" i="7"/>
  <c r="G4" i="24"/>
  <c r="F4" i="24"/>
  <c r="E4" i="24"/>
  <c r="D4" i="24"/>
  <c r="C4" i="24"/>
  <c r="B4" i="24"/>
  <c r="I4" i="24" s="1"/>
  <c r="H20" i="24" s="1"/>
  <c r="G4" i="22"/>
  <c r="F4" i="22"/>
  <c r="E4" i="22"/>
  <c r="D4" i="22"/>
  <c r="C4" i="22"/>
  <c r="B4" i="22"/>
  <c r="G4" i="21"/>
  <c r="F4" i="21"/>
  <c r="E4" i="21"/>
  <c r="D4" i="21"/>
  <c r="C4" i="21"/>
  <c r="B4" i="21"/>
  <c r="I4" i="21" s="1"/>
  <c r="G4" i="20"/>
  <c r="F4" i="20"/>
  <c r="E4" i="20"/>
  <c r="D4" i="20"/>
  <c r="C4" i="20"/>
  <c r="B4" i="20"/>
  <c r="G4" i="19"/>
  <c r="F4" i="19"/>
  <c r="E4" i="19"/>
  <c r="D4" i="19"/>
  <c r="C4" i="19"/>
  <c r="B4" i="19"/>
  <c r="G4" i="16"/>
  <c r="F4" i="16"/>
  <c r="E4" i="16"/>
  <c r="D4" i="16"/>
  <c r="C4" i="16"/>
  <c r="B4" i="16"/>
  <c r="G4" i="14"/>
  <c r="F4" i="14"/>
  <c r="E4" i="14"/>
  <c r="D4" i="14"/>
  <c r="C4" i="14"/>
  <c r="B4" i="14"/>
  <c r="I4" i="14" s="1"/>
  <c r="H20" i="14" s="1"/>
  <c r="G4" i="13"/>
  <c r="F4" i="13"/>
  <c r="E4" i="13"/>
  <c r="D4" i="13"/>
  <c r="C4" i="13"/>
  <c r="B4" i="13"/>
  <c r="I4" i="13" s="1"/>
  <c r="H20" i="13" s="1"/>
  <c r="G4" i="15"/>
  <c r="F4" i="15"/>
  <c r="E4" i="15"/>
  <c r="D4" i="15"/>
  <c r="C4" i="15"/>
  <c r="B4" i="15"/>
  <c r="I4" i="15" s="1"/>
  <c r="G4" i="12"/>
  <c r="F4" i="12"/>
  <c r="E4" i="12"/>
  <c r="D4" i="12"/>
  <c r="C4" i="12"/>
  <c r="B4" i="12"/>
  <c r="I4" i="12" s="1"/>
  <c r="G4" i="10"/>
  <c r="F4" i="10"/>
  <c r="E4" i="10"/>
  <c r="D4" i="10"/>
  <c r="C4" i="10"/>
  <c r="B4" i="10"/>
  <c r="I4" i="10" s="1"/>
  <c r="H20" i="10" s="1"/>
  <c r="F6" i="17"/>
  <c r="F54" i="17" s="1"/>
  <c r="E6" i="17"/>
  <c r="G4" i="3"/>
  <c r="H9" i="20"/>
  <c r="K11" i="20"/>
  <c r="K10" i="20"/>
  <c r="J11" i="20"/>
  <c r="H11" i="20" s="1"/>
  <c r="J10" i="20"/>
  <c r="H10" i="20" s="1"/>
  <c r="C14" i="48" l="1"/>
  <c r="I10" i="8"/>
  <c r="I12" i="8"/>
  <c r="K12" i="8" s="1"/>
  <c r="D28" i="18" s="1"/>
  <c r="I11" i="8"/>
  <c r="K11" i="8" s="1"/>
  <c r="D27" i="18" s="1"/>
  <c r="I9" i="8"/>
  <c r="K9" i="8" s="1"/>
  <c r="D25" i="18" s="1"/>
  <c r="I5" i="8"/>
  <c r="I13" i="8"/>
  <c r="K13" i="8" s="1"/>
  <c r="D29" i="18" s="1"/>
  <c r="I6" i="8"/>
  <c r="I8" i="8"/>
  <c r="K8" i="8" s="1"/>
  <c r="D24" i="18" s="1"/>
  <c r="I7" i="8"/>
  <c r="F4" i="48"/>
  <c r="C24" i="48" s="1"/>
  <c r="C13" i="48"/>
  <c r="C12" i="48"/>
  <c r="C11" i="48"/>
  <c r="C10" i="48"/>
  <c r="K8" i="41"/>
  <c r="H12" i="20"/>
  <c r="C9" i="48"/>
  <c r="D11" i="8"/>
  <c r="D9" i="8"/>
  <c r="D6" i="8"/>
  <c r="D5" i="8"/>
  <c r="F5" i="8" s="1"/>
  <c r="G5" i="8" s="1"/>
  <c r="D7" i="8"/>
  <c r="D8" i="8"/>
  <c r="D10" i="8"/>
  <c r="D12" i="8"/>
  <c r="C20" i="11"/>
  <c r="C19" i="11"/>
  <c r="C18" i="11"/>
  <c r="C10" i="11"/>
  <c r="C17" i="11"/>
  <c r="C9" i="11"/>
  <c r="C16" i="11"/>
  <c r="C15" i="11"/>
  <c r="C14" i="11"/>
  <c r="C13" i="11"/>
  <c r="C12" i="11"/>
  <c r="C11" i="11"/>
  <c r="H12" i="8"/>
  <c r="C28" i="18"/>
  <c r="D6" i="17"/>
  <c r="B14" i="18"/>
  <c r="B13" i="18"/>
  <c r="B12" i="18"/>
  <c r="B11" i="18"/>
  <c r="B10" i="18"/>
  <c r="B9" i="18"/>
  <c r="B8" i="18"/>
  <c r="B7" i="18"/>
  <c r="B6" i="18"/>
  <c r="C21" i="48" l="1"/>
  <c r="S53" i="3" s="1"/>
  <c r="E28" i="18"/>
  <c r="R57" i="3"/>
  <c r="C21" i="11"/>
  <c r="C23" i="18"/>
  <c r="H7" i="8"/>
  <c r="H13" i="8"/>
  <c r="L13" i="8" s="1"/>
  <c r="C29" i="18"/>
  <c r="E29" i="18" s="1"/>
  <c r="C24" i="18"/>
  <c r="E24" i="18" s="1"/>
  <c r="H8" i="8"/>
  <c r="L8" i="8" s="1"/>
  <c r="H11" i="8"/>
  <c r="C27" i="18"/>
  <c r="E27" i="18" s="1"/>
  <c r="H5" i="8"/>
  <c r="C21" i="18"/>
  <c r="C26" i="18"/>
  <c r="H10" i="8"/>
  <c r="H6" i="8"/>
  <c r="C22" i="18"/>
  <c r="H9" i="8"/>
  <c r="C25" i="18"/>
  <c r="E25" i="18" s="1"/>
  <c r="L11" i="8"/>
  <c r="L12" i="8"/>
  <c r="L9" i="8"/>
  <c r="H10" i="13"/>
  <c r="H10" i="12"/>
  <c r="H11" i="12" s="1"/>
  <c r="H20" i="12" s="1"/>
  <c r="B6" i="8"/>
  <c r="B7" i="8"/>
  <c r="B8" i="8"/>
  <c r="B9" i="8"/>
  <c r="B10" i="8"/>
  <c r="B11" i="8"/>
  <c r="B12" i="8"/>
  <c r="B13" i="8"/>
  <c r="B5" i="8"/>
  <c r="K7" i="8" l="1"/>
  <c r="G18" i="7"/>
  <c r="G19" i="7" s="1"/>
  <c r="U63" i="3"/>
  <c r="D13" i="8"/>
  <c r="I32" i="41"/>
  <c r="H14" i="8"/>
  <c r="C14" i="18"/>
  <c r="C11" i="18"/>
  <c r="C8" i="18"/>
  <c r="C7" i="18"/>
  <c r="C6" i="18"/>
  <c r="D23" i="18" l="1"/>
  <c r="L7" i="8"/>
  <c r="R53" i="3"/>
  <c r="C9" i="18"/>
  <c r="C10" i="18"/>
  <c r="C12" i="18"/>
  <c r="C13" i="18"/>
  <c r="C14" i="8"/>
  <c r="C14" i="7"/>
  <c r="E23" i="18" l="1"/>
  <c r="C17" i="7"/>
  <c r="C4" i="11"/>
  <c r="C15" i="18"/>
  <c r="R55" i="3" s="1"/>
  <c r="R61" i="3" s="1"/>
  <c r="U55" i="3" l="1"/>
  <c r="U57" i="3" s="1"/>
  <c r="U65" i="3" s="1"/>
  <c r="C5" i="11"/>
  <c r="D21" i="11" l="1"/>
  <c r="C24" i="11"/>
  <c r="D41" i="1"/>
  <c r="D24" i="11" l="1"/>
  <c r="C23" i="48"/>
  <c r="C26" i="48" s="1"/>
  <c r="J32" i="41"/>
  <c r="F12" i="8"/>
  <c r="F7" i="8"/>
  <c r="F11" i="8"/>
  <c r="G11" i="8" s="1"/>
  <c r="F8" i="8"/>
  <c r="F13" i="8"/>
  <c r="D8" i="18" l="1"/>
  <c r="E8" i="18" s="1"/>
  <c r="G7" i="8"/>
  <c r="D13" i="18"/>
  <c r="E13" i="18" s="1"/>
  <c r="G12" i="8"/>
  <c r="G8" i="8"/>
  <c r="D9" i="18"/>
  <c r="E9" i="18" s="1"/>
  <c r="D14" i="18"/>
  <c r="E14" i="18" s="1"/>
  <c r="G13" i="8"/>
  <c r="K3" i="41"/>
  <c r="K32" i="41" s="1"/>
  <c r="L32" i="41" s="1"/>
  <c r="L61" i="41" s="1"/>
  <c r="L63" i="41" s="1"/>
  <c r="F9" i="8"/>
  <c r="D12" i="18"/>
  <c r="E12" i="18" s="1"/>
  <c r="G9" i="8" l="1"/>
  <c r="D10" i="18"/>
  <c r="E10" i="18" s="1"/>
  <c r="I20" i="8" l="1"/>
  <c r="F10" i="8"/>
  <c r="I23" i="8" l="1"/>
  <c r="I22" i="8"/>
  <c r="J5" i="8" s="1"/>
  <c r="D6" i="18"/>
  <c r="E6" i="18" s="1"/>
  <c r="D11" i="18"/>
  <c r="E11" i="18" s="1"/>
  <c r="G10" i="8"/>
  <c r="J10" i="8" l="1"/>
  <c r="K10" i="8" s="1"/>
  <c r="K5" i="8"/>
  <c r="I24" i="8"/>
  <c r="F6" i="8"/>
  <c r="C18" i="7" l="1"/>
  <c r="C19" i="7" s="1"/>
  <c r="I14" i="8"/>
  <c r="D21" i="18"/>
  <c r="L5" i="8"/>
  <c r="D26" i="18"/>
  <c r="L10" i="8"/>
  <c r="D14" i="8"/>
  <c r="G6" i="8"/>
  <c r="G14" i="8" s="1"/>
  <c r="F14" i="8"/>
  <c r="D7" i="18"/>
  <c r="E26" i="18" l="1"/>
  <c r="E21" i="18"/>
  <c r="E7" i="18"/>
  <c r="E15" i="18" s="1"/>
  <c r="K6" i="8"/>
  <c r="D22" i="18" s="1"/>
  <c r="D15" i="18"/>
  <c r="E22" i="18" l="1"/>
  <c r="D30" i="18"/>
  <c r="L6" i="8"/>
  <c r="L14" i="8" s="1"/>
  <c r="K14" i="8"/>
  <c r="C30" i="18"/>
  <c r="T30"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tc={B94B61BE-9E95-456D-83ED-BA5ED89F596A}</author>
    <author>tc={DBD976BE-1EA5-4F82-B578-BB477409D36E}</author>
    <author>tc={AA2AAB68-C334-402F-BFE2-A7D00ACCE4BE}</author>
    <author>tc={2F536141-AE0B-480B-9256-AC86F43D41D9}</author>
    <author>tc={CD0EAA3A-8612-41AC-AEA9-2402CC95F0F9}</author>
    <author>tc={E105EA63-7C78-41C4-8D8F-2A5203F081DB}</author>
    <author>tc={E5436728-87D0-492B-83F9-14F3FA74D779}</author>
    <author>tc={2718DB0D-6394-4B31-BD4D-B1D4C2924D70}</author>
  </authors>
  <commentList>
    <comment ref="I10" authorId="0" shapeId="0" xr:uid="{B94B61BE-9E95-456D-83ED-BA5ED89F596A}">
      <text>
        <t>[Threaded comment]
Your version of Excel allows you to read this threaded comment; however, any edits to it will get removed if the file is opened in a newer version of Excel. Learn more: https://go.microsoft.com/fwlink/?linkid=870924
Comment:
    Includes roof repairs in scope.</t>
      </text>
    </comment>
    <comment ref="L10" authorId="1" shapeId="0" xr:uid="{DBD976BE-1EA5-4F82-B578-BB477409D36E}">
      <text>
        <t>[Threaded comment]
Your version of Excel allows you to read this threaded comment; however, any edits to it will get removed if the file is opened in a newer version of Excel. Learn more: https://go.microsoft.com/fwlink/?linkid=870924
Comment:
    Includes both A&amp;S swing space and FRP scope.</t>
      </text>
    </comment>
    <comment ref="W11" authorId="2" shapeId="0" xr:uid="{AA2AAB68-C334-402F-BFE2-A7D00ACCE4BE}">
      <text>
        <t>[Threaded comment]
Your version of Excel allows you to read this threaded comment; however, any edits to it will get removed if the file is opened in a newer version of Excel. Learn more: https://go.microsoft.com/fwlink/?linkid=870924
Comment:
    Project will be joint funded, FPR / Divinity + Dean of Students.</t>
      </text>
    </comment>
    <comment ref="W19" authorId="3" shapeId="0" xr:uid="{2F536141-AE0B-480B-9256-AC86F43D41D9}">
      <text>
        <t>[Threaded comment]
Your version of Excel allows you to read this threaded comment; however, any edits to it will get removed if the file is opened in a newer version of Excel. Learn more: https://go.microsoft.com/fwlink/?linkid=870924
Comment:
    Phase 2 estimate. May be a separate project ID.</t>
      </text>
    </comment>
    <comment ref="L28" authorId="4" shapeId="0" xr:uid="{CD0EAA3A-8612-41AC-AEA9-2402CC95F0F9}">
      <text>
        <t xml:space="preserve">[Threaded comment]
Your version of Excel allows you to read this threaded comment; however, any edits to it will get removed if the file is opened in a newer version of Excel. Learn more: https://go.microsoft.com/fwlink/?linkid=870924
Comment:
    Includes both A&amp;S third floor renovation FRP (VAV boxes) scope. </t>
      </text>
    </comment>
    <comment ref="I36" authorId="5" shapeId="0" xr:uid="{E105EA63-7C78-41C4-8D8F-2A5203F081DB}">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7" authorId="6" shapeId="0" xr:uid="{E5436728-87D0-492B-83F9-14F3FA74D779}">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8" authorId="7" shapeId="0" xr:uid="{2718DB0D-6394-4B31-BD4D-B1D4C2924D70}">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tc={85245034-B175-4331-A4C4-D9D0079EF84F}</author>
  </authors>
  <commentList>
    <comment ref="E38" authorId="0" shapeId="0" xr:uid="{85245034-B175-4331-A4C4-D9D0079EF84F}">
      <text>
        <t>[Threaded comment]
Your version of Excel allows you to read this threaded comment; however, any edits to it will get removed if the file is opened in a newer version of Excel. Learn more: https://go.microsoft.com/fwlink/?linkid=870924
Comment:
    Preliminary cost estimates presented in three options. $4M - $5M range.</t>
      </text>
    </comment>
  </commentList>
</comments>
</file>

<file path=xl/sharedStrings.xml><?xml version="1.0" encoding="utf-8"?>
<sst xmlns="http://schemas.openxmlformats.org/spreadsheetml/2006/main" count="1505" uniqueCount="443">
  <si>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</si>
  <si>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</si>
  <si>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</si>
  <si>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</si>
  <si>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</si>
  <si>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</si>
  <si>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</si>
  <si>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</si>
  <si>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</si>
  <si>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</si>
  <si>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</si>
  <si>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</si>
  <si>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</si>
  <si>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</si>
  <si>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</si>
  <si>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</si>
  <si>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</si>
  <si>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</si>
  <si>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</si>
  <si>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</si>
  <si>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</si>
  <si>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</si>
  <si>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</si>
  <si>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</si>
  <si>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</si>
  <si>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</si>
  <si>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</si>
  <si>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</si>
  <si>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</si>
  <si>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</si>
  <si>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</si>
  <si>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</si>
  <si>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</si>
  <si>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</si>
  <si>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</si>
  <si>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</si>
  <si>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</si>
  <si>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</si>
  <si>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</si>
  <si>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</si>
  <si>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</si>
  <si>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</si>
  <si>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</si>
  <si>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</si>
  <si>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</si>
  <si>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</si>
  <si>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</si>
  <si>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</si>
  <si>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</si>
  <si>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</si>
  <si>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</si>
  <si>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</si>
  <si>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</si>
  <si>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</si>
  <si>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</si>
  <si>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</si>
  <si>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</si>
  <si>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</si>
  <si>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</si>
  <si>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</si>
  <si>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</si>
  <si>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</si>
  <si>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</si>
  <si>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</si>
  <si>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</si>
  <si>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</si>
  <si>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</si>
  <si>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</si>
  <si>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</si>
  <si>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</si>
  <si>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</si>
  <si>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</si>
  <si>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</si>
  <si>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</si>
  <si>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</si>
  <si>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</si>
  <si>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</si>
  <si>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</si>
  <si>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</si>
  <si>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</si>
  <si>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</si>
  <si>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</si>
  <si>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</si>
  <si>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</si>
  <si>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</si>
  <si>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</si>
  <si>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</si>
  <si>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</si>
  <si>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</si>
  <si>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</si>
  <si>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</si>
  <si>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</si>
  <si>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</si>
  <si>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</si>
  <si>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</si>
  <si>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</si>
  <si>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</si>
  <si>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</si>
  <si>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</si>
  <si>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</si>
  <si>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</si>
  <si>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</si>
  <si>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</si>
  <si>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</si>
  <si>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</si>
  <si>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</si>
  <si>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</si>
  <si>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</si>
  <si>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</si>
  <si>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Programming / Planning</t>
  </si>
  <si>
    <t>CP_400023</t>
  </si>
  <si>
    <t>Benson Old Central - Replace Soffit and Doors</t>
  </si>
  <si>
    <t xml:space="preserve">Last updated: </t>
  </si>
  <si>
    <t>Projects</t>
  </si>
  <si>
    <t>Building</t>
  </si>
  <si>
    <t>Row Labels</t>
  </si>
  <si>
    <t>Grand Total</t>
  </si>
  <si>
    <t>Approved_Budget</t>
  </si>
  <si>
    <t>Projects in MRBIII to be split 65% School of Medicine Basic Sciences / 35% Arts &amp; Sciences</t>
  </si>
  <si>
    <t>Estimated Budget</t>
  </si>
  <si>
    <t>A&amp;S</t>
  </si>
  <si>
    <t>SOM</t>
  </si>
  <si>
    <t>MRB III Adj</t>
  </si>
  <si>
    <t>Remaining funds</t>
  </si>
  <si>
    <t>Funding transfers</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</si>
  <si>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</si>
  <si>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</si>
  <si>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</si>
  <si>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</si>
  <si>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</si>
  <si>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</si>
  <si>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</si>
  <si>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</si>
  <si>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</si>
  <si>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</si>
  <si>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</si>
  <si>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</si>
  <si>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</si>
  <si>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</si>
  <si>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</si>
  <si>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</si>
  <si>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</si>
  <si>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</si>
  <si>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</si>
  <si>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</si>
  <si>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</si>
  <si>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</si>
  <si>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</si>
  <si>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</si>
  <si>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</si>
  <si>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</si>
  <si>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</si>
  <si>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</si>
  <si>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</si>
  <si>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</si>
  <si>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</si>
  <si>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</si>
  <si>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</si>
  <si>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</si>
  <si>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</si>
  <si>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</si>
  <si>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</si>
  <si>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</si>
  <si>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</si>
  <si>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</si>
  <si>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</si>
  <si>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</si>
  <si>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eBuilder Project No</t>
  </si>
  <si>
    <t>Project Phase</t>
  </si>
  <si>
    <t>Project Description</t>
  </si>
  <si>
    <t>(1)</t>
  </si>
  <si>
    <t>(2)</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</si>
  <si>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</si>
  <si>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</si>
  <si>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</si>
  <si>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</si>
  <si>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</si>
  <si>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</si>
  <si>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</si>
  <si>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</si>
  <si>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</si>
  <si>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</si>
  <si>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</si>
  <si>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</si>
  <si>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</si>
  <si>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</si>
  <si>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</si>
  <si>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Elevator #3 Modernization</t>
  </si>
  <si>
    <t>CP_400163</t>
  </si>
  <si>
    <r>
      <t xml:space="preserve">Facility Renewal Program: </t>
    </r>
    <r>
      <rPr>
        <b/>
        <i/>
        <sz val="11"/>
        <color theme="1"/>
        <rFont val="Calibri"/>
        <family val="2"/>
        <scheme val="minor"/>
      </rPr>
      <t>Summary by School</t>
    </r>
  </si>
  <si>
    <r>
      <t xml:space="preserve">Facility Renewal Program: </t>
    </r>
    <r>
      <rPr>
        <b/>
        <i/>
        <sz val="11"/>
        <color theme="1"/>
        <rFont val="Calibri"/>
        <family val="2"/>
        <scheme val="minor"/>
      </rPr>
      <t>Summary by Project</t>
    </r>
  </si>
  <si>
    <t xml:space="preserve">--this worksheet is used to allocate FRP costs for shared buildings to applicable schools. </t>
  </si>
  <si>
    <r>
      <t xml:space="preserve">Facility Renewal Program: </t>
    </r>
    <r>
      <rPr>
        <b/>
        <i/>
        <sz val="11"/>
        <color theme="1"/>
        <rFont val="Calibri"/>
        <family val="2"/>
        <scheme val="minor"/>
      </rPr>
      <t>Projects</t>
    </r>
  </si>
  <si>
    <t>Summary</t>
  </si>
  <si>
    <t>Arts &amp; Science</t>
  </si>
  <si>
    <t>Owen</t>
  </si>
  <si>
    <t>Blair</t>
  </si>
  <si>
    <t>Divinity</t>
  </si>
  <si>
    <t>Engineering</t>
  </si>
  <si>
    <t>Law</t>
  </si>
  <si>
    <t>Nursing</t>
  </si>
  <si>
    <t>SOM Basic Sciences</t>
  </si>
  <si>
    <t>Peabody</t>
  </si>
  <si>
    <t>Lookup</t>
  </si>
  <si>
    <t>Facility Renewal Program: Interactive Pivot Table</t>
  </si>
  <si>
    <t>WILSON HALL</t>
  </si>
  <si>
    <t>SC SCIENCE &amp; ENGINEERING</t>
  </si>
  <si>
    <r>
      <t xml:space="preserve">Facility Renewal Program: </t>
    </r>
    <r>
      <rPr>
        <b/>
        <i/>
        <sz val="11"/>
        <color theme="1"/>
        <rFont val="Calibri"/>
        <family val="2"/>
        <scheme val="minor"/>
      </rPr>
      <t>Contributions - FY24</t>
    </r>
  </si>
  <si>
    <r>
      <t xml:space="preserve">Facility Renewal Program: </t>
    </r>
    <r>
      <rPr>
        <b/>
        <i/>
        <sz val="11"/>
        <color theme="1"/>
        <rFont val="Calibri"/>
        <family val="2"/>
        <scheme val="minor"/>
      </rPr>
      <t>Contributions - FY23</t>
    </r>
  </si>
  <si>
    <t>Anticipated spend</t>
  </si>
  <si>
    <t>CP_400165</t>
  </si>
  <si>
    <t>Wyatt Center - Elevator #2 Modernization</t>
  </si>
  <si>
    <t>Projects to be added</t>
  </si>
  <si>
    <t>CP_400168</t>
  </si>
  <si>
    <t>BAC-2</t>
  </si>
  <si>
    <t>crowhus_10312022_FRP</t>
  </si>
  <si>
    <t>TBD</t>
  </si>
  <si>
    <t>CP_400164</t>
  </si>
  <si>
    <t>Wilson Hall - Fire Alarm Replacement</t>
  </si>
  <si>
    <t>FY22 invoices covered by VUSN</t>
  </si>
  <si>
    <t>CP_400171</t>
  </si>
  <si>
    <t>BAC-8</t>
  </si>
  <si>
    <t>Projects to be discussed</t>
  </si>
  <si>
    <t>Invoices Approved</t>
  </si>
  <si>
    <t>Bidding</t>
  </si>
  <si>
    <t>Estimated 
Total Budget</t>
  </si>
  <si>
    <t>crowhus_11302022_FRP</t>
  </si>
  <si>
    <t>to be covered by Dean of Students (DOS) BAC-8</t>
  </si>
  <si>
    <t>CP_400175</t>
  </si>
  <si>
    <t>Capex / Opex</t>
  </si>
  <si>
    <t>Total program - FY23</t>
  </si>
  <si>
    <t>Blair School of Music - Steam Line</t>
  </si>
  <si>
    <t>CP_400178</t>
  </si>
  <si>
    <t>crowhus_12312022_FRP</t>
  </si>
  <si>
    <t>Warranty / Construction Closeout</t>
  </si>
  <si>
    <t>CP_400182</t>
  </si>
  <si>
    <t>Bryan Building - Swing Space Renovation - A&amp;S Planning</t>
  </si>
  <si>
    <t>Cathy Bartlett</t>
  </si>
  <si>
    <t>CP_400183</t>
  </si>
  <si>
    <t>CP_400185</t>
  </si>
  <si>
    <t>crowhus_01312023_FRP</t>
  </si>
  <si>
    <t xml:space="preserve">design to be covered by A&amp;S </t>
  </si>
  <si>
    <t>Wyatt Center - Window Replacement</t>
  </si>
  <si>
    <t>OWEN GRAD MGMT</t>
  </si>
  <si>
    <t>FY23 FRP Cash Transferred</t>
  </si>
  <si>
    <t>BRYAN BLDG</t>
  </si>
  <si>
    <t>FY24 FRP Estimated</t>
  </si>
  <si>
    <t>Contribution vs. FY23 FRP funding</t>
  </si>
  <si>
    <t>Total program - FY24</t>
  </si>
  <si>
    <t>FY24 revised estimated FRP</t>
  </si>
  <si>
    <t>Contribution vs. FY24 FRP funding</t>
  </si>
  <si>
    <t>FY23 
Contribution</t>
  </si>
  <si>
    <t>FY24 
Contribution</t>
  </si>
  <si>
    <t>CP_400187</t>
  </si>
  <si>
    <t>crowhus_02282023_FRP</t>
  </si>
  <si>
    <t>Collections</t>
  </si>
  <si>
    <t>Transferred</t>
  </si>
  <si>
    <t>Remaining</t>
  </si>
  <si>
    <t>To be moved</t>
  </si>
  <si>
    <t>Owen - Roof Replacement (Third Level)</t>
  </si>
  <si>
    <t>CP_400192</t>
  </si>
  <si>
    <t>CP_400174</t>
  </si>
  <si>
    <t>BUTTRICK HALL</t>
  </si>
  <si>
    <t>Buttrick Hall - 3rd Floor Inequality Renovations</t>
  </si>
  <si>
    <t>Erin Fry</t>
  </si>
  <si>
    <t>SIX MAGNOLIA CIRCLE</t>
  </si>
  <si>
    <t>Six Magnolia Circle - Foundation Repairs</t>
  </si>
  <si>
    <t>Not Started</t>
  </si>
  <si>
    <t>SC4 - Interstitial Space HVAC Modifications</t>
  </si>
  <si>
    <t>Financial Closeout</t>
  </si>
  <si>
    <t>03/22/2023 Project is in closeout.</t>
  </si>
  <si>
    <t>Total transfers from FRP cash</t>
  </si>
  <si>
    <t>crowhus_03312023_FRP</t>
  </si>
  <si>
    <t>CP_400198</t>
  </si>
  <si>
    <t>Keck FEL - Roof Replacement</t>
  </si>
  <si>
    <t>03/24/2023 Working with appropriate parties to determine scope of work.</t>
  </si>
  <si>
    <t>Project Status'!A1</t>
  </si>
  <si>
    <t>JE LOG_FY23'!A1</t>
  </si>
  <si>
    <t>FY25 FRP Estimated</t>
  </si>
  <si>
    <t>crowhus_04302023_FRP</t>
  </si>
  <si>
    <t>Godchaux Hall - HVAC Upgrade</t>
  </si>
  <si>
    <t>Law School - Fire Alarm System Replacement</t>
  </si>
  <si>
    <t>LAW SCHOOL</t>
  </si>
  <si>
    <t>Law School - Sections 1, 2, &amp; 3  Roof Replacement</t>
  </si>
  <si>
    <t>BAC-3 (partial)</t>
  </si>
  <si>
    <t>crowhus_05312023_FRP</t>
  </si>
  <si>
    <t>Peabody Administration - Envelope Repairs</t>
  </si>
  <si>
    <t>VAV controls only</t>
  </si>
  <si>
    <t>CP_400206</t>
  </si>
  <si>
    <t xml:space="preserve">work to be covered by A&amp;S </t>
  </si>
  <si>
    <t>FY 2023</t>
  </si>
  <si>
    <t>FRP Funding</t>
  </si>
  <si>
    <t>Estimated</t>
  </si>
  <si>
    <t>FY 2024</t>
  </si>
  <si>
    <t>FRP Collection</t>
  </si>
  <si>
    <t>FY 2025</t>
  </si>
  <si>
    <t>General guidance regarding the facility renewal program</t>
  </si>
  <si>
    <t xml:space="preserve">In general, any required facility renewal scope should be included in remodel project budgets. </t>
  </si>
  <si>
    <t>In these cases, the project manager needs to work with BOC Finance and the appropriate CBO as soon as possible to discuss project timing.</t>
  </si>
  <si>
    <t>MRB III - 4th Floor - Replace Controls (Phase 2)</t>
  </si>
  <si>
    <t>Warranty or Construction Closeout</t>
  </si>
  <si>
    <t>MRB III - 9th Floor (with 4 ,5 &amp; 8) - Replace Controls (Phase 3)</t>
  </si>
  <si>
    <t>In other words, FRP funds will not be used to augment remodel project budgets.</t>
  </si>
  <si>
    <t>Capital projects impact a school's balance sheet and generally span multiple fiscal years.</t>
  </si>
  <si>
    <t xml:space="preserve">Operating projects impact a school's income statement, which is reported on quarterly through variance reporting. </t>
  </si>
  <si>
    <t>Occasionally, facility renewal projects by nature of their scope and / or cost will not meet the capitalization threshold.</t>
  </si>
  <si>
    <t>Due to the timing of when fiscal year budgets are approved, opex facility renewal project(s) may not be included in the school's budget.</t>
  </si>
  <si>
    <t>When this is the case, the school will need to explain the negative impact of the opex facility renewal project(s) on their income statement.</t>
  </si>
  <si>
    <t>Final costs</t>
  </si>
  <si>
    <t>crowhus_06302023_FRP</t>
  </si>
  <si>
    <t>FX2-1</t>
  </si>
  <si>
    <t>FY24 FRP Total Contribution</t>
  </si>
  <si>
    <t>FY24 FRP Transferred</t>
  </si>
  <si>
    <t>Carryforward</t>
  </si>
  <si>
    <t>FY23</t>
  </si>
  <si>
    <t>FY24</t>
  </si>
  <si>
    <t>FY23 FRP</t>
  </si>
  <si>
    <t xml:space="preserve">FY23 FRP funding </t>
  </si>
  <si>
    <t xml:space="preserve">FY24 estimated FRP funding </t>
  </si>
  <si>
    <t>JE LOG_FY24'!A1</t>
  </si>
  <si>
    <t>crowhus_08072023_FRP</t>
  </si>
  <si>
    <t>Wilson Hall - HVAC Replacement</t>
  </si>
  <si>
    <t>SC5 - HVAC Replacement</t>
  </si>
  <si>
    <t>Finalized</t>
  </si>
  <si>
    <t>07/24/2023 Project is complete. I will begin closeout after taking some final photos of the space.</t>
  </si>
  <si>
    <t>crowhus_08082023_FRP</t>
  </si>
  <si>
    <t>Journal entries to be processed next</t>
  </si>
  <si>
    <r>
      <rPr>
        <i/>
        <sz val="11"/>
        <color theme="1"/>
        <rFont val="Calibri"/>
        <family val="2"/>
        <scheme val="minor"/>
      </rPr>
      <t>plus</t>
    </r>
    <r>
      <rPr>
        <sz val="11"/>
        <color theme="1"/>
        <rFont val="Calibri"/>
        <family val="2"/>
        <scheme val="minor"/>
      </rPr>
      <t xml:space="preserve"> carryforward</t>
    </r>
  </si>
  <si>
    <r>
      <rPr>
        <i/>
        <sz val="11"/>
        <color theme="1"/>
        <rFont val="Calibri"/>
        <family val="2"/>
        <scheme val="minor"/>
      </rPr>
      <t xml:space="preserve">(less) </t>
    </r>
    <r>
      <rPr>
        <sz val="11"/>
        <color theme="1"/>
        <rFont val="Calibri"/>
        <family val="2"/>
        <scheme val="minor"/>
      </rPr>
      <t>TBD</t>
    </r>
  </si>
  <si>
    <t>SC PHYSICS &amp; ASTRONOMY</t>
  </si>
  <si>
    <t>SC6 - HVAC Upgrades - Feasibility Study</t>
  </si>
  <si>
    <t>Wyatt Center - HVAC Upgrades - Engineering Study</t>
  </si>
  <si>
    <t>Jay Surprenant</t>
  </si>
  <si>
    <t>08/22/2023 project complete</t>
  </si>
  <si>
    <t>Actual Costs</t>
  </si>
  <si>
    <t>FY23 FRP Cash</t>
  </si>
  <si>
    <t>FY24 FRP Cash</t>
  </si>
  <si>
    <t>Facility Renewal Program: Summary by Project Phase</t>
  </si>
  <si>
    <r>
      <t xml:space="preserve">Facility Renewal Program: </t>
    </r>
    <r>
      <rPr>
        <b/>
        <i/>
        <sz val="11"/>
        <color theme="1"/>
        <rFont val="Calibri"/>
        <family val="2"/>
        <scheme val="minor"/>
      </rPr>
      <t>Contributions - FY25</t>
    </r>
  </si>
  <si>
    <t>BAC-4</t>
  </si>
  <si>
    <t>crowhus_09302023_FRP</t>
  </si>
  <si>
    <t>BAC-10</t>
  </si>
  <si>
    <t>All funded by Divinity- split will resume on project 20489- Divinity AHU 1N</t>
  </si>
  <si>
    <t>09/22/2023 Project complete.  Financial closeout process to begin after confirmation that all invoices have been submitted, approved and cleared.</t>
  </si>
  <si>
    <t>Contribution 
to FRP</t>
  </si>
  <si>
    <t xml:space="preserve">Funded 
Projects </t>
  </si>
  <si>
    <t>Estimed Funded Projects</t>
  </si>
  <si>
    <t>FY23 FRP 
Funding</t>
  </si>
  <si>
    <t xml:space="preserve">Estimated Funding 
FY24 FRP </t>
  </si>
  <si>
    <t>Vaughn - roof, (phase 2) - summer 2024</t>
  </si>
  <si>
    <t>Check</t>
  </si>
  <si>
    <t>FY26 FRP Estimated</t>
  </si>
  <si>
    <t>FY 2026</t>
  </si>
  <si>
    <t>One Magnolia Circle - Elevator Modernization</t>
  </si>
  <si>
    <t>ONE MAGNOLIA CIRCLE</t>
  </si>
  <si>
    <t>CP_400227</t>
  </si>
  <si>
    <t>crowhus_10312023_FRP</t>
  </si>
  <si>
    <t>Andy Maddox</t>
  </si>
  <si>
    <t>GODCHAUX HALL</t>
  </si>
  <si>
    <t>Divinity Air Handling Unit Replacement, (5/6)- Phase 1</t>
  </si>
  <si>
    <t>Divinity Air Handling Unit Replacement, (1/3) - Phase 2 with Benton</t>
  </si>
  <si>
    <t>SC-7 Chemistry - SG-1 Removal and Connection to Central Plant Steam</t>
  </si>
  <si>
    <t>SC-5 - Chemical Discharge Replacement</t>
  </si>
  <si>
    <t>10/23/2023 Project complete.  Waiting on final invoice to clear to begin the financial closeout process.</t>
  </si>
  <si>
    <t>10/23/2023 On Hold till FY26</t>
  </si>
  <si>
    <t>DB:</t>
  </si>
  <si>
    <t>CR:</t>
  </si>
  <si>
    <t>phase 2</t>
  </si>
  <si>
    <t>phase 1</t>
  </si>
  <si>
    <t>Law School - Exterior Window Painting</t>
  </si>
  <si>
    <t>Blair School of Music - Air Handling Unit Replacement -Phase 1</t>
  </si>
  <si>
    <t>OGSM Old Mechanical- Slate Roof &amp; Window Replacement</t>
  </si>
  <si>
    <t>BIOMOLECULAR NMR</t>
  </si>
  <si>
    <t>11/22/2023 Project complete.  Waiting on final invoice to clear to begin the financial closeout process.</t>
  </si>
  <si>
    <t>11/27/2023 Project is in closeout</t>
  </si>
  <si>
    <t>09/27/2023 This project is on hold until October. We are awaiting approval from the CBO for initial funding which will be repaid by the FRP.</t>
  </si>
  <si>
    <t>NMR - Replace Air Compressors</t>
  </si>
  <si>
    <t>SC7 - Roof replacement (CUI / Stevenson), FY25, HM BB CP to confirm scope and timing ($315k)</t>
  </si>
  <si>
    <t>Godchaux - replace roof [Ben] - wait until after HVAC project completed, FY26 (includes small stairwell section in Frist)</t>
  </si>
  <si>
    <t>crowhus_12192023_FRP</t>
  </si>
  <si>
    <t>WO#</t>
  </si>
  <si>
    <t>`</t>
  </si>
  <si>
    <t>crowhus_01302024_FRP</t>
  </si>
  <si>
    <t>SEIGENTHALER CENTER</t>
  </si>
  <si>
    <t>Buttrick Hall - Elevator Upgrades</t>
  </si>
  <si>
    <t>Benson Hall - Elevator Upgrades</t>
  </si>
  <si>
    <t>Wilson Hall - Elevator Upgrades</t>
  </si>
  <si>
    <t>Terry Haley</t>
  </si>
  <si>
    <t>Planning</t>
  </si>
  <si>
    <t>01/22/2024 Project complete.  Waiting on final invoice to clear to begin the financial closeout process.</t>
  </si>
  <si>
    <t>01/22/2024 Project is in closeout</t>
  </si>
  <si>
    <t>01/22/2024 Project is complete.  Waiting on final invoice to clear to begin the closeout process.</t>
  </si>
  <si>
    <t>12/18/2023 Project complete.  Waiting on final invoice to clear to begin the financial closeout process.</t>
  </si>
  <si>
    <t>12/18/2023 Construction complete.  Waiting on final invoices to clear to begin the closeout process.</t>
  </si>
  <si>
    <t>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t>
  </si>
  <si>
    <t>01/22/2024 Project study and estimated pricing is complete. Project in closeout.</t>
  </si>
  <si>
    <t>Unallocated Reserve</t>
  </si>
  <si>
    <t>Unalloc reserve</t>
  </si>
  <si>
    <t>FY24 subtotal</t>
  </si>
  <si>
    <t>Other</t>
  </si>
  <si>
    <t>Contribution vs. Funded</t>
  </si>
  <si>
    <t>Count of eBuilder</t>
  </si>
  <si>
    <t>Frist roof $200k (eBuilder number assigned 2/21)</t>
  </si>
  <si>
    <t>MRB III - replace air compressors (Chris to complete project intake)</t>
  </si>
  <si>
    <t>MRB III - reconfigure fire alarm panel (Chris to complete project intake)</t>
  </si>
  <si>
    <t>crowhus_02292024_FRP</t>
  </si>
  <si>
    <t>CP_400235</t>
  </si>
  <si>
    <t>FRIST HALL</t>
  </si>
  <si>
    <t>NEELY AUDITORIUM</t>
  </si>
  <si>
    <t>Frist Hall - Stairwell Roof Replacement</t>
  </si>
  <si>
    <t>Programming or Planning</t>
  </si>
  <si>
    <t>Blair School of Music - AHU 2/3 Replacement  - Phase 2 - FY26</t>
  </si>
  <si>
    <t>Neely Auditorium - MEP Feasibility Study</t>
  </si>
  <si>
    <t>Wilson Hall - Lighting Retrofit for 103 and 126</t>
  </si>
  <si>
    <t>1025 16th Avenue - Security System Replacement</t>
  </si>
  <si>
    <t>02/27/2024 Project has been awarded, PO as been sent to Beech. We will be working on schedule in March for summer install.</t>
  </si>
  <si>
    <t>02/23/2024 work is complete</t>
  </si>
  <si>
    <t>02/22/2024 01/24/2024 Project on schedule and under budget.</t>
  </si>
  <si>
    <t>02/23/2024 The interior fitout was completed in August and A&amp;S is actively occupying the building. Mechanical rooftop units and partial roof replacement began in December and is substantially complete. Issues with winter construction (roof, RTU's) are being addressed with DPR.</t>
  </si>
  <si>
    <t>02/22/2024 01/22/2024 11/22/2023 11/22/2023 updated project costs submitted to Facility Renewal committee...Phase 1 FY25 list Prepare drawings for bid/pre-bid walk through</t>
  </si>
  <si>
    <t>02/26/2024 Punchlist items have been discussed with the contractor.  Once items are completed, project is ready to closeout.</t>
  </si>
  <si>
    <t>02/27/2024 We have come up with a solution that fits our budget for the FRP. We received approval from Engineering on our scaled down version of the project and FRP also approved. Envision is working on a design now.</t>
  </si>
  <si>
    <t>02/28/2024 Pre-construction is still ongoing. FM Sylvan is working on final pricing and phasing for the project. Project was pushed back to FY25</t>
  </si>
  <si>
    <t>02/27/2024 PO has been issued to Burns and equipment is on order. We will begin scheduling in March with construction slated to start summer 2024.</t>
  </si>
  <si>
    <t>02/27/2024 Scope of work has been ironed out and we are expecting updated drawings and equipment needs in early March. Project will be put out to bid soon after.</t>
  </si>
  <si>
    <t>02/23/2024 Construction complete. Library Closeout process complete. The Financial closeout process has been started.</t>
  </si>
  <si>
    <t>02/26/2024 Nothing new to report.  Still waiting on funding approval from SOM.</t>
  </si>
  <si>
    <t>02/22/2024 01/22/2024 11/22/2023 10/23/2023 Outside work is underway; Inside work is scheduled for May 2024</t>
  </si>
  <si>
    <t>02/26/2024 Project is complete.  Contractor is working on punch list items.  Once items complete, project is ready to close.</t>
  </si>
  <si>
    <t>02/28/2024 01/26/2024 12/18/2023 Waiting budget approval.  2/28 Scope modified, waiting on additional bid, will modify BAC and resubmit.</t>
  </si>
  <si>
    <t>02/26/2024 Currently working through the PO process.</t>
  </si>
  <si>
    <t>02/27/2024 Price estimates are back for the study and have been integrated. We are having a final meeting to discuss the findings with the building managers before closing this project.</t>
  </si>
  <si>
    <t>02/26/2024 VUIT, Boetel, and VU Card Services have completed their installation.  Waiting on cameras so they can be installed.  This building will become an FRP building.  Kwasi is working on the capital plan to bring the building up to VU PUC standards - will become a FY25 project - HVAC, AV, rekeying, furniture, renovations, and minor wall rearrangements.</t>
  </si>
  <si>
    <t>02/26/2024 Project is currently out to bid.</t>
  </si>
  <si>
    <t>02/27/2024 BAC has been started for Nashville Machine for the main install. We are awaiting a CO for controls and connection to BSC.</t>
  </si>
  <si>
    <t>New project</t>
  </si>
  <si>
    <t>02/28/2024 VUMO coordinating project plan</t>
  </si>
  <si>
    <t>FX</t>
  </si>
  <si>
    <t>prior year</t>
  </si>
  <si>
    <t>carryforward</t>
  </si>
  <si>
    <t xml:space="preserve">20945- $99K Seigenthaler- </t>
  </si>
  <si>
    <t>Seigenthaler Building - HVAC Improvements</t>
  </si>
  <si>
    <t>Both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</si>
</sst>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 numFmtId="169" formatCode="_(* #,##0.0_);_(* \(#,##0.0\);_(* &quot;-&quot;??_);_(@_)"/>
  </numFmts>
  <fonts count="34"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b/>
      <sz val="11"/>
      <color rgb="FF000000"/>
      <name val="Calibri"/>
      <family val="2"/>
      <scheme val="minor"/>
    </font>
    <font>
      <sz val="11"/>
      <color theme="5"/>
      <name val="Calibri"/>
      <family val="2"/>
      <scheme val="minor"/>
    </font>
    <font>
      <i/>
      <sz val="10"/>
      <name val="Calibri"/>
      <family val="2"/>
      <scheme val="minor"/>
    </font>
    <font>
      <b/>
      <i/>
      <sz val="11"/>
      <color theme="1"/>
      <name val="Calibri"/>
      <family val="2"/>
      <scheme val="minor"/>
    </font>
    <font>
      <i/>
      <sz val="11"/>
      <color theme="1"/>
      <name val="Calibri"/>
      <family val="2"/>
      <scheme val="minor"/>
    </font>
    <font>
      <sz val="10"/>
      <name val="Tahoma"/>
      <family val="2"/>
    </font>
    <font>
      <b/>
      <u/>
      <sz val="11"/>
      <color theme="1"/>
      <name val="Calibri"/>
      <family val="2"/>
      <scheme val="minor"/>
    </font>
    <font>
      <sz val="11"/>
      <color rgb="FFC00000"/>
      <name val="Calibri"/>
      <family val="2"/>
      <scheme val="minor"/>
    </font>
    <font>
      <sz val="9"/>
      <color theme="1"/>
      <name val="Calibri"/>
      <family val="2"/>
      <scheme val="minor"/>
    </font>
    <font>
      <i/>
      <sz val="9"/>
      <color theme="1"/>
      <name val="Calibri"/>
      <family val="2"/>
      <scheme val="minor"/>
    </font>
    <font>
      <sz val="12"/>
      <color rgb="FF474F61"/>
      <name val="Arial"/>
      <family val="2"/>
    </font>
    <font>
      <i/>
      <sz val="10"/>
      <color theme="1"/>
      <name val="Calibri"/>
      <family val="2"/>
      <scheme val="minor"/>
    </font>
    <font>
      <u/>
      <sz val="11"/>
      <color theme="10"/>
      <name val="Calibri"/>
      <family val="2"/>
      <scheme val="minor"/>
    </font>
    <font>
      <sz val="11"/>
      <color rgb="FFFF0000"/>
      <name val="Calibri"/>
      <family val="2"/>
      <scheme val="minor"/>
    </font>
    <font>
      <sz val="16"/>
      <color theme="0"/>
      <name val="Calibri"/>
      <family val="2"/>
      <scheme val="minor"/>
    </font>
    <font>
      <i/>
      <sz val="11"/>
      <color rgb="FF7F7F7F"/>
      <name val="Calibri"/>
      <family val="2"/>
      <scheme val="minor"/>
    </font>
    <font>
      <i/>
      <sz val="16"/>
      <color rgb="FF7F7F7F"/>
      <name val="Calibri"/>
      <family val="2"/>
      <scheme val="minor"/>
    </font>
    <font>
      <u/>
      <sz val="11"/>
      <color theme="8" tint="-0.499984740745262"/>
      <name val="Calibri"/>
      <family val="2"/>
      <scheme val="minor"/>
    </font>
    <font>
      <sz val="11"/>
      <color theme="9" tint="-0.249977111117893"/>
      <name val="Calibri"/>
      <family val="2"/>
      <scheme val="minor"/>
    </font>
    <font>
      <i/>
      <strike/>
      <sz val="10"/>
      <name val="Calibri"/>
      <family val="2"/>
      <scheme val="minor"/>
    </font>
    <font>
      <strike/>
      <sz val="11"/>
      <name val="Calibri"/>
      <family val="2"/>
      <scheme val="minor"/>
    </font>
    <font>
      <strike/>
      <u/>
      <sz val="11"/>
      <color theme="8" tint="-0.499984740745262"/>
      <name val="Calibri"/>
      <family val="2"/>
      <scheme val="minor"/>
    </font>
    <font>
      <strike/>
      <sz val="11"/>
      <color theme="1"/>
      <name val="Calibri"/>
      <family val="2"/>
      <scheme val="minor"/>
    </font>
    <font>
      <strike/>
      <sz val="11"/>
      <color theme="9" tint="-0.249977111117893"/>
      <name val="Calibri"/>
      <family val="2"/>
      <scheme val="minor"/>
    </font>
    <font>
      <strike/>
      <u/>
      <sz val="11"/>
      <color theme="10"/>
      <name val="Calibri"/>
      <family val="2"/>
      <scheme val="minor"/>
    </font>
    <font>
      <i/>
      <sz val="11"/>
      <name val="Calibri"/>
      <family val="2"/>
      <scheme val="minor"/>
    </font>
  </fonts>
  <fills count="37">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2" tint="-0.249977111117893"/>
        <bgColor indexed="64"/>
      </patternFill>
    </fill>
    <fill>
      <patternFill patternType="solid">
        <fgColor theme="2"/>
        <bgColor indexed="64"/>
      </patternFill>
    </fill>
    <fill>
      <patternFill patternType="solid">
        <fgColor theme="6"/>
      </patternFill>
    </fill>
    <fill>
      <patternFill patternType="solid">
        <fgColor theme="5" tint="0.59999389629810485"/>
        <bgColor indexed="64"/>
      </patternFill>
    </fill>
    <fill>
      <patternFill patternType="solid">
        <fgColor theme="4"/>
      </patternFill>
    </fill>
    <fill>
      <patternFill patternType="solid">
        <fgColor theme="4"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93"/>
        <bgColor indexed="64"/>
      </patternFill>
    </fill>
    <fill>
      <patternFill patternType="solid">
        <fgColor theme="3" tint="0.59999389629810485"/>
        <bgColor indexed="64"/>
      </patternFill>
    </fill>
    <fill>
      <patternFill patternType="solid">
        <fgColor indexed="9"/>
        <bgColor indexed="64"/>
      </patternFill>
    </fill>
  </fills>
  <borders count="16">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13" fillId="16" borderId="0">
      <protection locked="0"/>
    </xf>
    <xf numFmtId="9" fontId="1" fillId="0" borderId="0" applyFont="0" applyFill="0" applyBorder="0" applyAlignment="0" applyProtection="0"/>
    <xf numFmtId="0" fontId="18" fillId="22" borderId="5">
      <alignment horizontal="left" vertical="center" wrapText="1"/>
    </xf>
    <xf numFmtId="0" fontId="2" fillId="25" borderId="0" applyNumberFormat="0" applyBorder="0" applyAlignment="0" applyProtection="0"/>
    <xf numFmtId="0" fontId="20" fillId="0" borderId="0" applyNumberFormat="0" applyFill="0" applyBorder="0" applyAlignment="0" applyProtection="0"/>
    <xf numFmtId="0" fontId="2" fillId="27" borderId="0" applyNumberFormat="0" applyBorder="0" applyAlignment="0" applyProtection="0"/>
    <xf numFmtId="0" fontId="1" fillId="28" borderId="0" applyNumberFormat="0" applyBorder="0" applyAlignment="0" applyProtection="0"/>
    <xf numFmtId="0" fontId="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3" fillId="0" borderId="0" applyNumberFormat="0" applyFill="0" applyBorder="0" applyAlignment="0" applyProtection="0"/>
    <xf numFmtId="4" fontId="13" fillId="36" borderId="15"/>
  </cellStyleXfs>
  <cellXfs count="273">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0" fillId="0" borderId="0" xfId="0" applyAlignment="1">
      <alignment wrapText="1"/>
    </xf>
    <xf numFmtId="0" fontId="6" fillId="8" borderId="0" xfId="0" applyFont="1" applyFill="1" applyAlignment="1">
      <alignment horizontal="center" vertical="center" wrapText="1" readingOrder="1"/>
    </xf>
    <xf numFmtId="0" fontId="4" fillId="0" borderId="0" xfId="0" applyFont="1"/>
    <xf numFmtId="0" fontId="3" fillId="0" borderId="0" xfId="0" applyFont="1" applyAlignment="1">
      <alignment horizontal="left" vertical="center" readingOrder="1"/>
    </xf>
    <xf numFmtId="166" fontId="9" fillId="0" borderId="0" xfId="2" applyNumberFormat="1" applyFont="1" applyBorder="1" applyAlignment="1">
      <alignment horizontal="center"/>
    </xf>
    <xf numFmtId="0" fontId="2" fillId="9" borderId="0" xfId="0" applyFont="1" applyFill="1"/>
    <xf numFmtId="0" fontId="2" fillId="9" borderId="0" xfId="0" applyFont="1" applyFill="1" applyAlignment="1">
      <alignment horizontal="center"/>
    </xf>
    <xf numFmtId="164" fontId="0" fillId="0" borderId="0" xfId="1" applyNumberFormat="1" applyFont="1" applyBorder="1" applyAlignment="1"/>
    <xf numFmtId="165" fontId="0" fillId="0" borderId="0" xfId="2" applyNumberFormat="1" applyFont="1" applyBorder="1" applyAlignment="1"/>
    <xf numFmtId="164" fontId="0" fillId="0" borderId="1" xfId="1" applyNumberFormat="1" applyFont="1" applyBorder="1" applyAlignment="1"/>
    <xf numFmtId="165" fontId="0" fillId="0" borderId="1" xfId="0" applyNumberFormat="1" applyBorder="1"/>
    <xf numFmtId="167" fontId="0" fillId="0" borderId="0" xfId="0" applyNumberFormat="1" applyAlignment="1">
      <alignment horizontal="left"/>
    </xf>
    <xf numFmtId="0" fontId="12" fillId="0" borderId="0" xfId="0" applyFont="1"/>
    <xf numFmtId="164" fontId="0" fillId="0" borderId="0" xfId="1" applyNumberFormat="1" applyFont="1"/>
    <xf numFmtId="0" fontId="0" fillId="0" borderId="0" xfId="0" applyAlignment="1">
      <alignment horizontal="left" indent="1"/>
    </xf>
    <xf numFmtId="164" fontId="2" fillId="6" borderId="0" xfId="4" applyNumberFormat="1" applyFont="1" applyFill="1"/>
    <xf numFmtId="164" fontId="6" fillId="6" borderId="0" xfId="4" applyNumberFormat="1" applyFont="1" applyFill="1"/>
    <xf numFmtId="0" fontId="0" fillId="0" borderId="0" xfId="0" pivotButton="1"/>
    <xf numFmtId="0" fontId="0" fillId="0" borderId="0" xfId="0" applyAlignment="1">
      <alignment horizontal="left"/>
    </xf>
    <xf numFmtId="3" fontId="0" fillId="0" borderId="0" xfId="0" applyNumberFormat="1"/>
    <xf numFmtId="168" fontId="2" fillId="10" borderId="0" xfId="4" applyNumberFormat="1" applyFont="1" applyFill="1" applyAlignment="1">
      <alignment horizontal="center" wrapText="1"/>
    </xf>
    <xf numFmtId="168" fontId="2" fillId="8" borderId="0" xfId="4" applyNumberFormat="1" applyFont="1" applyFill="1" applyAlignment="1">
      <alignment horizontal="center" wrapText="1"/>
    </xf>
    <xf numFmtId="0" fontId="12" fillId="0" borderId="0" xfId="0" applyFont="1" applyAlignment="1">
      <alignment horizontal="center"/>
    </xf>
    <xf numFmtId="165" fontId="12" fillId="0" borderId="0" xfId="2" applyNumberFormat="1" applyFont="1"/>
    <xf numFmtId="165" fontId="12" fillId="0" borderId="2" xfId="2" applyNumberFormat="1" applyFont="1" applyBorder="1"/>
    <xf numFmtId="0" fontId="12" fillId="0" borderId="0" xfId="0" applyFont="1" applyAlignment="1">
      <alignment horizontal="left" indent="1"/>
    </xf>
    <xf numFmtId="14" fontId="0" fillId="0" borderId="0" xfId="0" applyNumberFormat="1"/>
    <xf numFmtId="14" fontId="0" fillId="0" borderId="0" xfId="0" applyNumberFormat="1" applyAlignment="1">
      <alignment wrapText="1"/>
    </xf>
    <xf numFmtId="165" fontId="0" fillId="0" borderId="0" xfId="0" applyNumberFormat="1"/>
    <xf numFmtId="0" fontId="6" fillId="8" borderId="0" xfId="0" applyFont="1" applyFill="1" applyAlignment="1">
      <alignment horizontal="center" vertical="center" readingOrder="1"/>
    </xf>
    <xf numFmtId="0" fontId="6" fillId="8" borderId="0" xfId="0" applyFont="1" applyFill="1" applyAlignment="1">
      <alignment horizontal="center" readingOrder="1"/>
    </xf>
    <xf numFmtId="0" fontId="6" fillId="8" borderId="0" xfId="0" applyFont="1" applyFill="1" applyAlignment="1">
      <alignment horizontal="left" readingOrder="1"/>
    </xf>
    <xf numFmtId="0" fontId="6" fillId="6" borderId="0" xfId="0" applyFont="1" applyFill="1" applyAlignment="1">
      <alignment horizontal="center" readingOrder="1"/>
    </xf>
    <xf numFmtId="44" fontId="3" fillId="5" borderId="0" xfId="2" applyFont="1" applyFill="1" applyBorder="1" applyAlignment="1">
      <alignment horizontal="right" vertical="center" readingOrder="1"/>
    </xf>
    <xf numFmtId="0" fontId="6" fillId="15" borderId="0" xfId="5" applyFont="1"/>
    <xf numFmtId="44" fontId="0" fillId="0" borderId="0" xfId="2" applyFont="1"/>
    <xf numFmtId="44" fontId="0" fillId="0" borderId="0" xfId="0" applyNumberFormat="1"/>
    <xf numFmtId="44" fontId="0" fillId="0" borderId="2" xfId="0" applyNumberFormat="1" applyBorder="1"/>
    <xf numFmtId="44" fontId="4" fillId="0" borderId="0" xfId="0" applyNumberFormat="1" applyFont="1"/>
    <xf numFmtId="0" fontId="14" fillId="0" borderId="0" xfId="0" applyFont="1"/>
    <xf numFmtId="0" fontId="0" fillId="0" borderId="3" xfId="0" applyBorder="1" applyAlignment="1">
      <alignment horizontal="left" indent="1"/>
    </xf>
    <xf numFmtId="44" fontId="0" fillId="0" borderId="3" xfId="2" applyFont="1" applyBorder="1"/>
    <xf numFmtId="0" fontId="12" fillId="0" borderId="0" xfId="0" applyFont="1" applyAlignment="1">
      <alignment horizontal="right"/>
    </xf>
    <xf numFmtId="0" fontId="4" fillId="17" borderId="0" xfId="0" applyFont="1" applyFill="1"/>
    <xf numFmtId="44" fontId="4" fillId="17" borderId="0" xfId="2" applyFont="1" applyFill="1"/>
    <xf numFmtId="0" fontId="0" fillId="18" borderId="0" xfId="0" applyFill="1"/>
    <xf numFmtId="44" fontId="0" fillId="18" borderId="0" xfId="2" applyFont="1" applyFill="1"/>
    <xf numFmtId="0" fontId="0" fillId="4" borderId="0" xfId="0" applyFill="1"/>
    <xf numFmtId="44" fontId="0" fillId="4" borderId="0" xfId="2" applyFont="1" applyFill="1"/>
    <xf numFmtId="165" fontId="0" fillId="5" borderId="0" xfId="2" applyNumberFormat="1" applyFont="1" applyFill="1"/>
    <xf numFmtId="165" fontId="0" fillId="11" borderId="0" xfId="2" applyNumberFormat="1" applyFont="1" applyFill="1"/>
    <xf numFmtId="165" fontId="0" fillId="7" borderId="0" xfId="2" applyNumberFormat="1" applyFont="1" applyFill="1"/>
    <xf numFmtId="0" fontId="0" fillId="0" borderId="0" xfId="0" applyAlignment="1">
      <alignment horizontal="center"/>
    </xf>
    <xf numFmtId="165" fontId="6" fillId="8" borderId="0" xfId="4" applyNumberFormat="1" applyFont="1" applyFill="1"/>
    <xf numFmtId="165" fontId="6" fillId="10" borderId="0" xfId="4" applyNumberFormat="1" applyFont="1" applyFill="1"/>
    <xf numFmtId="165" fontId="6" fillId="6" borderId="0" xfId="4" applyNumberFormat="1" applyFont="1" applyFill="1"/>
    <xf numFmtId="164" fontId="2" fillId="6" borderId="0" xfId="4" applyNumberFormat="1" applyFont="1" applyFill="1" applyAlignment="1">
      <alignment wrapText="1"/>
    </xf>
    <xf numFmtId="164" fontId="2" fillId="6" borderId="0" xfId="4" applyNumberFormat="1" applyFont="1" applyFill="1" applyAlignment="1">
      <alignment horizontal="center" wrapText="1"/>
    </xf>
    <xf numFmtId="164" fontId="0" fillId="5" borderId="0" xfId="1" applyNumberFormat="1" applyFont="1" applyFill="1"/>
    <xf numFmtId="164" fontId="0" fillId="11" borderId="0" xfId="1" applyNumberFormat="1" applyFont="1" applyFill="1"/>
    <xf numFmtId="164" fontId="0" fillId="7" borderId="0" xfId="1" applyNumberFormat="1" applyFont="1" applyFill="1"/>
    <xf numFmtId="0" fontId="0" fillId="0" borderId="0" xfId="0" quotePrefix="1" applyAlignment="1">
      <alignment horizontal="center"/>
    </xf>
    <xf numFmtId="44" fontId="0" fillId="0" borderId="0" xfId="2" applyFont="1" applyBorder="1" applyAlignment="1">
      <alignment wrapText="1"/>
    </xf>
    <xf numFmtId="44" fontId="0" fillId="0" borderId="0" xfId="2" quotePrefix="1" applyFont="1" applyAlignment="1">
      <alignment horizontal="center"/>
    </xf>
    <xf numFmtId="44" fontId="2" fillId="10" borderId="0" xfId="2" applyFont="1" applyFill="1" applyAlignment="1">
      <alignment horizontal="center" wrapText="1"/>
    </xf>
    <xf numFmtId="44" fontId="2" fillId="8" borderId="0" xfId="2" applyFont="1" applyFill="1" applyAlignment="1">
      <alignment horizontal="center" wrapText="1"/>
    </xf>
    <xf numFmtId="44" fontId="0" fillId="11" borderId="0" xfId="2" applyFont="1" applyFill="1"/>
    <xf numFmtId="44" fontId="12" fillId="0" borderId="0" xfId="2" applyFont="1"/>
    <xf numFmtId="165" fontId="2" fillId="19" borderId="1" xfId="0" applyNumberFormat="1" applyFont="1" applyFill="1" applyBorder="1"/>
    <xf numFmtId="44" fontId="4" fillId="0" borderId="0" xfId="2" applyFont="1"/>
    <xf numFmtId="9" fontId="0" fillId="0" borderId="0" xfId="7" applyFont="1"/>
    <xf numFmtId="0" fontId="0" fillId="0" borderId="4" xfId="0" applyBorder="1" applyAlignment="1">
      <alignment horizontal="center"/>
    </xf>
    <xf numFmtId="44" fontId="12" fillId="0" borderId="0" xfId="0" applyNumberFormat="1" applyFont="1"/>
    <xf numFmtId="165" fontId="6" fillId="10" borderId="0" xfId="2" applyNumberFormat="1" applyFont="1" applyFill="1"/>
    <xf numFmtId="165" fontId="6" fillId="8" borderId="0" xfId="2" applyNumberFormat="1" applyFont="1" applyFill="1"/>
    <xf numFmtId="0" fontId="15" fillId="0" borderId="0" xfId="0" quotePrefix="1" applyFont="1"/>
    <xf numFmtId="0" fontId="4"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14" fontId="0" fillId="0" borderId="0" xfId="0" applyNumberFormat="1" applyAlignment="1">
      <alignment vertical="center"/>
    </xf>
    <xf numFmtId="167" fontId="0" fillId="0" borderId="0" xfId="0" applyNumberFormat="1" applyAlignment="1">
      <alignment vertical="center"/>
    </xf>
    <xf numFmtId="0" fontId="6" fillId="8" borderId="0" xfId="0" applyFont="1" applyFill="1" applyAlignment="1">
      <alignment horizontal="left" vertical="center" wrapText="1" readingOrder="1"/>
    </xf>
    <xf numFmtId="0" fontId="0" fillId="0" borderId="1" xfId="0" applyBorder="1" applyAlignment="1">
      <alignment vertical="center"/>
    </xf>
    <xf numFmtId="0" fontId="4" fillId="0" borderId="1" xfId="0" applyFont="1" applyBorder="1" applyAlignment="1">
      <alignment vertical="center"/>
    </xf>
    <xf numFmtId="0" fontId="16" fillId="0" borderId="0" xfId="0" applyFont="1"/>
    <xf numFmtId="14" fontId="16" fillId="0" borderId="0" xfId="0" applyNumberFormat="1" applyFont="1"/>
    <xf numFmtId="0" fontId="17" fillId="0" borderId="0" xfId="0" applyFont="1"/>
    <xf numFmtId="166" fontId="0" fillId="0" borderId="0" xfId="0" applyNumberFormat="1"/>
    <xf numFmtId="0" fontId="11" fillId="0" borderId="0" xfId="0" applyFont="1" applyAlignment="1">
      <alignment vertical="center"/>
    </xf>
    <xf numFmtId="0" fontId="0" fillId="0" borderId="0" xfId="0" applyAlignment="1">
      <alignment horizontal="left" vertical="center" indent="1"/>
    </xf>
    <xf numFmtId="44" fontId="3" fillId="0" borderId="0" xfId="2" applyFont="1" applyFill="1" applyBorder="1" applyAlignment="1">
      <alignment horizontal="right" vertical="center" readingOrder="1"/>
    </xf>
    <xf numFmtId="0" fontId="3" fillId="0" borderId="0" xfId="0" applyFont="1" applyAlignment="1">
      <alignment vertical="center"/>
    </xf>
    <xf numFmtId="0" fontId="3" fillId="0" borderId="6" xfId="0" applyFont="1" applyBorder="1" applyAlignment="1">
      <alignment horizontal="left" vertical="center" readingOrder="1"/>
    </xf>
    <xf numFmtId="0" fontId="3" fillId="14" borderId="6" xfId="0" applyFont="1" applyFill="1" applyBorder="1" applyAlignment="1">
      <alignment horizontal="left" vertical="center" readingOrder="1"/>
    </xf>
    <xf numFmtId="0" fontId="10" fillId="0" borderId="6" xfId="0" applyFont="1" applyBorder="1" applyAlignment="1">
      <alignment vertical="center"/>
    </xf>
    <xf numFmtId="0" fontId="0" fillId="14" borderId="1" xfId="0" applyFill="1" applyBorder="1" applyAlignment="1">
      <alignment vertical="center"/>
    </xf>
    <xf numFmtId="0" fontId="0" fillId="0" borderId="0" xfId="0" applyAlignment="1">
      <alignment horizontal="left" vertical="center"/>
    </xf>
    <xf numFmtId="165" fontId="0" fillId="11" borderId="0" xfId="2" applyNumberFormat="1" applyFont="1" applyFill="1" applyAlignment="1">
      <alignment horizontal="right"/>
    </xf>
    <xf numFmtId="165" fontId="0" fillId="7" borderId="0" xfId="2" applyNumberFormat="1" applyFont="1" applyFill="1" applyAlignment="1">
      <alignment horizontal="right"/>
    </xf>
    <xf numFmtId="0" fontId="19" fillId="0" borderId="0" xfId="0" applyFont="1"/>
    <xf numFmtId="44" fontId="12" fillId="0" borderId="0" xfId="2" applyFont="1" applyFill="1"/>
    <xf numFmtId="44" fontId="0" fillId="0" borderId="0" xfId="2" applyFont="1" applyFill="1"/>
    <xf numFmtId="44" fontId="1" fillId="0" borderId="0" xfId="2" applyFont="1" applyFill="1"/>
    <xf numFmtId="164" fontId="0" fillId="0" borderId="0" xfId="1" applyNumberFormat="1" applyFont="1" applyBorder="1" applyAlignment="1">
      <alignment vertical="center"/>
    </xf>
    <xf numFmtId="164" fontId="6" fillId="13" borderId="0" xfId="1" applyNumberFormat="1" applyFont="1" applyFill="1" applyBorder="1" applyAlignment="1">
      <alignment horizontal="center" vertical="center" wrapText="1" readingOrder="1"/>
    </xf>
    <xf numFmtId="164" fontId="6" fillId="8" borderId="0" xfId="1" applyNumberFormat="1" applyFont="1" applyFill="1" applyBorder="1" applyAlignment="1">
      <alignment horizontal="center" vertical="center" wrapText="1" readingOrder="1"/>
    </xf>
    <xf numFmtId="164" fontId="6" fillId="10" borderId="0" xfId="1" applyNumberFormat="1" applyFont="1" applyFill="1" applyBorder="1" applyAlignment="1">
      <alignment horizontal="center" vertical="center" wrapText="1" readingOrder="1"/>
    </xf>
    <xf numFmtId="164" fontId="3" fillId="21" borderId="6" xfId="1" applyNumberFormat="1" applyFont="1" applyFill="1" applyBorder="1" applyAlignment="1">
      <alignment horizontal="right" vertical="center" readingOrder="1"/>
    </xf>
    <xf numFmtId="164" fontId="3" fillId="7" borderId="6" xfId="1" applyNumberFormat="1" applyFont="1" applyFill="1" applyBorder="1" applyAlignment="1">
      <alignment horizontal="right" vertical="center" readingOrder="1"/>
    </xf>
    <xf numFmtId="164" fontId="3" fillId="20" borderId="6" xfId="1" applyNumberFormat="1" applyFont="1" applyFill="1" applyBorder="1" applyAlignment="1">
      <alignment horizontal="right" vertical="center" readingOrder="1"/>
    </xf>
    <xf numFmtId="164" fontId="4" fillId="21" borderId="1" xfId="1" applyNumberFormat="1" applyFont="1" applyFill="1" applyBorder="1" applyAlignment="1">
      <alignment vertical="center"/>
    </xf>
    <xf numFmtId="164" fontId="4" fillId="7" borderId="1" xfId="1" applyNumberFormat="1" applyFont="1" applyFill="1" applyBorder="1" applyAlignment="1">
      <alignment vertical="center"/>
    </xf>
    <xf numFmtId="164" fontId="8" fillId="20" borderId="1" xfId="1" applyNumberFormat="1" applyFont="1" applyFill="1" applyBorder="1" applyAlignment="1">
      <alignment horizontal="right" vertical="center" readingOrder="1"/>
    </xf>
    <xf numFmtId="164" fontId="17" fillId="0" borderId="0" xfId="1" applyNumberFormat="1" applyFont="1" applyBorder="1" applyAlignment="1">
      <alignment vertical="center"/>
    </xf>
    <xf numFmtId="164" fontId="6" fillId="6" borderId="0" xfId="1" applyNumberFormat="1" applyFont="1" applyFill="1" applyBorder="1" applyAlignment="1">
      <alignment horizontal="center" vertical="center" wrapText="1" readingOrder="1"/>
    </xf>
    <xf numFmtId="164" fontId="3" fillId="17" borderId="6" xfId="1" applyNumberFormat="1" applyFont="1" applyFill="1" applyBorder="1" applyAlignment="1">
      <alignment horizontal="right" vertical="center" readingOrder="1"/>
    </xf>
    <xf numFmtId="164" fontId="8" fillId="17" borderId="1" xfId="1" applyNumberFormat="1" applyFont="1" applyFill="1" applyBorder="1" applyAlignment="1">
      <alignment horizontal="right" vertical="center" readingOrder="1"/>
    </xf>
    <xf numFmtId="44" fontId="2" fillId="13" borderId="0" xfId="2" applyFont="1" applyFill="1" applyAlignment="1">
      <alignment horizontal="center" wrapText="1"/>
    </xf>
    <xf numFmtId="165" fontId="0" fillId="21" borderId="0" xfId="2" applyNumberFormat="1" applyFont="1" applyFill="1" applyAlignment="1">
      <alignment horizontal="right"/>
    </xf>
    <xf numFmtId="165" fontId="6" fillId="13" borderId="0" xfId="2" applyNumberFormat="1" applyFont="1" applyFill="1"/>
    <xf numFmtId="164" fontId="2" fillId="23" borderId="0" xfId="4" applyNumberFormat="1" applyFont="1" applyFill="1"/>
    <xf numFmtId="164" fontId="2" fillId="23" borderId="0" xfId="4" applyNumberFormat="1" applyFont="1" applyFill="1" applyAlignment="1">
      <alignment horizontal="center" wrapText="1"/>
    </xf>
    <xf numFmtId="164" fontId="6" fillId="23" borderId="0" xfId="4" applyNumberFormat="1" applyFont="1" applyFill="1"/>
    <xf numFmtId="165" fontId="6" fillId="23" borderId="0" xfId="4" applyNumberFormat="1" applyFont="1" applyFill="1"/>
    <xf numFmtId="165" fontId="0" fillId="24" borderId="0" xfId="2" applyNumberFormat="1" applyFont="1" applyFill="1"/>
    <xf numFmtId="168" fontId="2" fillId="6" borderId="0" xfId="4" applyNumberFormat="1" applyFont="1" applyFill="1" applyAlignment="1">
      <alignment horizontal="center" wrapText="1"/>
    </xf>
    <xf numFmtId="168" fontId="2" fillId="13" borderId="0" xfId="4" applyNumberFormat="1" applyFont="1" applyFill="1" applyAlignment="1">
      <alignment horizontal="center" wrapText="1"/>
    </xf>
    <xf numFmtId="165" fontId="6" fillId="13" borderId="0" xfId="4" applyNumberFormat="1" applyFont="1" applyFill="1"/>
    <xf numFmtId="165" fontId="0" fillId="21" borderId="0" xfId="2" applyNumberFormat="1" applyFont="1" applyFill="1"/>
    <xf numFmtId="164" fontId="0" fillId="21" borderId="0" xfId="1" applyNumberFormat="1" applyFont="1" applyFill="1"/>
    <xf numFmtId="168" fontId="2" fillId="6" borderId="7" xfId="4" applyNumberFormat="1" applyFont="1" applyFill="1" applyBorder="1" applyAlignment="1">
      <alignment horizontal="center" wrapText="1"/>
    </xf>
    <xf numFmtId="168" fontId="2" fillId="10" borderId="8" xfId="4" applyNumberFormat="1" applyFont="1" applyFill="1" applyBorder="1" applyAlignment="1">
      <alignment horizontal="center" wrapText="1"/>
    </xf>
    <xf numFmtId="168" fontId="2" fillId="13" borderId="8" xfId="4" applyNumberFormat="1" applyFont="1" applyFill="1" applyBorder="1" applyAlignment="1">
      <alignment horizontal="center"/>
    </xf>
    <xf numFmtId="168" fontId="2" fillId="8" borderId="9" xfId="4" applyNumberFormat="1" applyFont="1" applyFill="1" applyBorder="1" applyAlignment="1">
      <alignment horizontal="center" wrapText="1"/>
    </xf>
    <xf numFmtId="168" fontId="0" fillId="5" borderId="10" xfId="2" applyNumberFormat="1" applyFont="1" applyFill="1" applyBorder="1"/>
    <xf numFmtId="168" fontId="0" fillId="11" borderId="0" xfId="2" applyNumberFormat="1" applyFont="1" applyFill="1" applyBorder="1"/>
    <xf numFmtId="168" fontId="0" fillId="14" borderId="0" xfId="2" applyNumberFormat="1" applyFont="1" applyFill="1" applyBorder="1"/>
    <xf numFmtId="168" fontId="0" fillId="7" borderId="11" xfId="2" applyNumberFormat="1" applyFont="1" applyFill="1" applyBorder="1"/>
    <xf numFmtId="168" fontId="6" fillId="6" borderId="12" xfId="4" applyNumberFormat="1" applyFont="1" applyFill="1" applyBorder="1"/>
    <xf numFmtId="168" fontId="6" fillId="10" borderId="4" xfId="4" applyNumberFormat="1" applyFont="1" applyFill="1" applyBorder="1"/>
    <xf numFmtId="168" fontId="6" fillId="13" borderId="4" xfId="4" applyNumberFormat="1" applyFont="1" applyFill="1" applyBorder="1"/>
    <xf numFmtId="168" fontId="6" fillId="8" borderId="13" xfId="4" applyNumberFormat="1" applyFont="1" applyFill="1" applyBorder="1"/>
    <xf numFmtId="168" fontId="2" fillId="10" borderId="7" xfId="4" applyNumberFormat="1" applyFont="1" applyFill="1" applyBorder="1" applyAlignment="1">
      <alignment horizontal="center" wrapText="1"/>
    </xf>
    <xf numFmtId="168" fontId="2" fillId="6" borderId="8" xfId="4" applyNumberFormat="1" applyFont="1" applyFill="1" applyBorder="1" applyAlignment="1">
      <alignment horizontal="center" wrapText="1"/>
    </xf>
    <xf numFmtId="168" fontId="0" fillId="11" borderId="10" xfId="2" applyNumberFormat="1" applyFont="1" applyFill="1" applyBorder="1"/>
    <xf numFmtId="168" fontId="0" fillId="5" borderId="0" xfId="2" applyNumberFormat="1" applyFont="1" applyFill="1" applyBorder="1"/>
    <xf numFmtId="168" fontId="6" fillId="10" borderId="12" xfId="4" applyNumberFormat="1" applyFont="1" applyFill="1" applyBorder="1"/>
    <xf numFmtId="168" fontId="6" fillId="6" borderId="4" xfId="4" applyNumberFormat="1" applyFont="1" applyFill="1" applyBorder="1"/>
    <xf numFmtId="165" fontId="0" fillId="0" borderId="0" xfId="2" applyNumberFormat="1" applyFont="1"/>
    <xf numFmtId="164" fontId="12" fillId="0" borderId="0" xfId="1" applyNumberFormat="1" applyFont="1" applyBorder="1" applyAlignment="1">
      <alignment vertical="center"/>
    </xf>
    <xf numFmtId="164" fontId="12" fillId="0" borderId="0" xfId="1" applyNumberFormat="1" applyFont="1" applyBorder="1" applyAlignment="1">
      <alignment horizontal="right" vertical="center"/>
    </xf>
    <xf numFmtId="164" fontId="12" fillId="0" borderId="2" xfId="1" applyNumberFormat="1" applyFont="1" applyBorder="1" applyAlignment="1">
      <alignment vertical="center"/>
    </xf>
    <xf numFmtId="0" fontId="12" fillId="0" borderId="2" xfId="0" applyFont="1" applyBorder="1"/>
    <xf numFmtId="0" fontId="0" fillId="0" borderId="2" xfId="0" applyBorder="1"/>
    <xf numFmtId="44" fontId="12" fillId="0" borderId="2" xfId="0" applyNumberFormat="1" applyFont="1" applyBorder="1"/>
    <xf numFmtId="0" fontId="6" fillId="6" borderId="0" xfId="9" applyFont="1" applyFill="1"/>
    <xf numFmtId="44" fontId="6" fillId="6" borderId="0" xfId="9" applyNumberFormat="1" applyFont="1" applyFill="1"/>
    <xf numFmtId="0" fontId="20" fillId="0" borderId="0" xfId="10" quotePrefix="1"/>
    <xf numFmtId="0" fontId="20" fillId="0" borderId="0" xfId="10" quotePrefix="1" applyAlignment="1">
      <alignment vertical="center"/>
    </xf>
    <xf numFmtId="164" fontId="6" fillId="9" borderId="0" xfId="1" applyNumberFormat="1" applyFont="1" applyFill="1" applyBorder="1" applyAlignment="1">
      <alignment horizontal="center" vertical="center" wrapText="1" readingOrder="1"/>
    </xf>
    <xf numFmtId="164" fontId="3" fillId="26" borderId="6" xfId="1" applyNumberFormat="1" applyFont="1" applyFill="1" applyBorder="1" applyAlignment="1">
      <alignment horizontal="right" vertical="center" readingOrder="1"/>
    </xf>
    <xf numFmtId="164" fontId="8" fillId="26" borderId="1" xfId="1" applyNumberFormat="1" applyFont="1" applyFill="1" applyBorder="1" applyAlignment="1">
      <alignment horizontal="right" vertical="center" readingOrder="1"/>
    </xf>
    <xf numFmtId="0" fontId="21" fillId="0" borderId="0" xfId="0" applyFont="1" applyAlignment="1">
      <alignment horizontal="left" vertical="center" indent="1"/>
    </xf>
    <xf numFmtId="49" fontId="13" fillId="0" borderId="0" xfId="6" applyFill="1">
      <protection locked="0"/>
    </xf>
    <xf numFmtId="164" fontId="0" fillId="0" borderId="0" xfId="0" applyNumberFormat="1"/>
    <xf numFmtId="0" fontId="1" fillId="30" borderId="0" xfId="14"/>
    <xf numFmtId="164" fontId="1" fillId="30" borderId="0" xfId="14" applyNumberFormat="1"/>
    <xf numFmtId="164" fontId="2" fillId="29" borderId="0" xfId="13" applyNumberFormat="1"/>
    <xf numFmtId="0" fontId="1" fillId="31" borderId="0" xfId="15"/>
    <xf numFmtId="164" fontId="1" fillId="31" borderId="0" xfId="15" applyNumberFormat="1"/>
    <xf numFmtId="164" fontId="2" fillId="2" borderId="0" xfId="3" applyNumberFormat="1"/>
    <xf numFmtId="164" fontId="0" fillId="0" borderId="0" xfId="1" applyNumberFormat="1" applyFont="1" applyAlignment="1">
      <alignment horizontal="right"/>
    </xf>
    <xf numFmtId="164" fontId="0" fillId="0" borderId="0" xfId="0" applyNumberFormat="1" applyAlignment="1">
      <alignment horizontal="right"/>
    </xf>
    <xf numFmtId="164" fontId="2" fillId="27" borderId="0" xfId="11" applyNumberFormat="1"/>
    <xf numFmtId="0" fontId="1" fillId="28" borderId="0" xfId="12"/>
    <xf numFmtId="164" fontId="1" fillId="28" borderId="0" xfId="12" applyNumberFormat="1"/>
    <xf numFmtId="0" fontId="2" fillId="29" borderId="0" xfId="13" applyAlignment="1">
      <alignment horizontal="center"/>
    </xf>
    <xf numFmtId="0" fontId="2" fillId="2" borderId="0" xfId="3" applyAlignment="1">
      <alignment horizontal="center"/>
    </xf>
    <xf numFmtId="0" fontId="2" fillId="27" borderId="0" xfId="11" applyAlignment="1">
      <alignment horizontal="center"/>
    </xf>
    <xf numFmtId="0" fontId="24" fillId="0" borderId="0" xfId="16" applyFont="1"/>
    <xf numFmtId="0" fontId="0" fillId="31" borderId="0" xfId="15" applyFont="1" applyAlignment="1">
      <alignment horizontal="center"/>
    </xf>
    <xf numFmtId="0" fontId="1" fillId="31" borderId="0" xfId="15" applyAlignment="1">
      <alignment horizontal="center"/>
    </xf>
    <xf numFmtId="0" fontId="1" fillId="30" borderId="0" xfId="14" applyAlignment="1">
      <alignment horizontal="center"/>
    </xf>
    <xf numFmtId="0" fontId="0" fillId="30" borderId="0" xfId="14" applyFont="1" applyAlignment="1">
      <alignment horizontal="center"/>
    </xf>
    <xf numFmtId="0" fontId="1" fillId="28" borderId="0" xfId="12" applyAlignment="1">
      <alignment horizontal="center"/>
    </xf>
    <xf numFmtId="0" fontId="0" fillId="28" borderId="0" xfId="12" applyFont="1" applyAlignment="1">
      <alignment horizontal="center"/>
    </xf>
    <xf numFmtId="0" fontId="0" fillId="5" borderId="0" xfId="0" applyFill="1"/>
    <xf numFmtId="0" fontId="0" fillId="7" borderId="0" xfId="0" applyFill="1"/>
    <xf numFmtId="0" fontId="0" fillId="11" borderId="0" xfId="0" applyFill="1"/>
    <xf numFmtId="0" fontId="6" fillId="10" borderId="0" xfId="0" applyFont="1" applyFill="1" applyAlignment="1">
      <alignment horizontal="center" readingOrder="1"/>
    </xf>
    <xf numFmtId="164" fontId="6" fillId="32" borderId="0" xfId="1" applyNumberFormat="1" applyFont="1" applyFill="1" applyBorder="1" applyAlignment="1">
      <alignment horizontal="center" vertical="center" wrapText="1" readingOrder="1"/>
    </xf>
    <xf numFmtId="164" fontId="3" fillId="33" borderId="6" xfId="1" applyNumberFormat="1" applyFont="1" applyFill="1" applyBorder="1" applyAlignment="1">
      <alignment horizontal="right" vertical="center" readingOrder="1"/>
    </xf>
    <xf numFmtId="164" fontId="8" fillId="33" borderId="1" xfId="1" applyNumberFormat="1" applyFont="1" applyFill="1" applyBorder="1" applyAlignment="1">
      <alignment horizontal="right" vertical="center" readingOrder="1"/>
    </xf>
    <xf numFmtId="44" fontId="3" fillId="11" borderId="0" xfId="2" applyFont="1" applyFill="1" applyBorder="1" applyAlignment="1">
      <alignment horizontal="right" vertical="center" readingOrder="1"/>
    </xf>
    <xf numFmtId="165" fontId="12" fillId="0" borderId="0" xfId="0" applyNumberFormat="1" applyFont="1"/>
    <xf numFmtId="164" fontId="20" fillId="0" borderId="0" xfId="10" quotePrefix="1" applyNumberFormat="1" applyBorder="1" applyAlignment="1">
      <alignment vertical="center"/>
    </xf>
    <xf numFmtId="0" fontId="25" fillId="0" borderId="6" xfId="10" applyFont="1" applyBorder="1" applyAlignment="1">
      <alignment horizontal="left" vertical="center" readingOrder="1"/>
    </xf>
    <xf numFmtId="0" fontId="20" fillId="0" borderId="6" xfId="10" applyBorder="1" applyAlignment="1">
      <alignment horizontal="left" vertical="center" readingOrder="1"/>
    </xf>
    <xf numFmtId="169" fontId="0" fillId="0" borderId="0" xfId="1" applyNumberFormat="1" applyFont="1"/>
    <xf numFmtId="0" fontId="0" fillId="0" borderId="0" xfId="0" applyAlignment="1">
      <alignment horizontal="left" indent="2"/>
    </xf>
    <xf numFmtId="164" fontId="3" fillId="34" borderId="6" xfId="1" applyNumberFormat="1" applyFont="1" applyFill="1" applyBorder="1" applyAlignment="1">
      <alignment horizontal="right" vertical="center" readingOrder="1"/>
    </xf>
    <xf numFmtId="164" fontId="0" fillId="34" borderId="0" xfId="1" applyNumberFormat="1" applyFont="1" applyFill="1" applyBorder="1" applyAlignment="1">
      <alignment vertical="center"/>
    </xf>
    <xf numFmtId="168" fontId="2" fillId="23" borderId="0" xfId="4" applyNumberFormat="1" applyFont="1" applyFill="1" applyAlignment="1">
      <alignment horizontal="center" wrapText="1"/>
    </xf>
    <xf numFmtId="164" fontId="0" fillId="11" borderId="0" xfId="1" applyNumberFormat="1" applyFont="1" applyFill="1" applyAlignment="1">
      <alignment horizontal="right"/>
    </xf>
    <xf numFmtId="164" fontId="0" fillId="7" borderId="0" xfId="1" applyNumberFormat="1" applyFont="1" applyFill="1" applyAlignment="1">
      <alignment horizontal="right"/>
    </xf>
    <xf numFmtId="164" fontId="0" fillId="21" borderId="0" xfId="1" applyNumberFormat="1" applyFont="1" applyFill="1" applyAlignment="1">
      <alignment horizontal="right"/>
    </xf>
    <xf numFmtId="164" fontId="2" fillId="3" borderId="0" xfId="11" applyNumberFormat="1" applyFill="1"/>
    <xf numFmtId="0" fontId="2" fillId="3" borderId="0" xfId="11" applyFill="1" applyAlignment="1">
      <alignment horizontal="center"/>
    </xf>
    <xf numFmtId="0" fontId="0" fillId="35" borderId="0" xfId="12" applyFont="1" applyFill="1" applyAlignment="1">
      <alignment horizontal="center"/>
    </xf>
    <xf numFmtId="0" fontId="1" fillId="35" borderId="0" xfId="12" applyFill="1"/>
    <xf numFmtId="164" fontId="1" fillId="35" borderId="0" xfId="12" applyNumberFormat="1" applyFill="1"/>
    <xf numFmtId="0" fontId="1" fillId="35" borderId="0" xfId="12" applyFill="1" applyAlignment="1">
      <alignment horizontal="center"/>
    </xf>
    <xf numFmtId="164" fontId="0" fillId="0" borderId="0" xfId="1" applyNumberFormat="1" applyFont="1" applyFill="1" applyAlignment="1">
      <alignment horizontal="right"/>
    </xf>
    <xf numFmtId="0" fontId="26" fillId="0" borderId="0" xfId="0" applyFont="1" applyAlignment="1">
      <alignment horizontal="center" vertical="center" wrapText="1"/>
    </xf>
    <xf numFmtId="164" fontId="6" fillId="3" borderId="0" xfId="1" applyNumberFormat="1" applyFont="1" applyFill="1" applyBorder="1" applyAlignment="1">
      <alignment horizontal="center" vertical="center" wrapText="1" readingOrder="1"/>
    </xf>
    <xf numFmtId="164" fontId="3" fillId="4" borderId="6" xfId="1" applyNumberFormat="1" applyFont="1" applyFill="1" applyBorder="1" applyAlignment="1">
      <alignment horizontal="right" vertical="center" readingOrder="1"/>
    </xf>
    <xf numFmtId="164" fontId="8" fillId="4" borderId="1" xfId="1" applyNumberFormat="1" applyFont="1" applyFill="1" applyBorder="1" applyAlignment="1">
      <alignment horizontal="right" vertical="center" readingOrder="1"/>
    </xf>
    <xf numFmtId="0" fontId="0" fillId="0" borderId="14" xfId="0" applyBorder="1"/>
    <xf numFmtId="0" fontId="0" fillId="0" borderId="6" xfId="0" applyBorder="1"/>
    <xf numFmtId="0" fontId="27" fillId="0" borderId="6" xfId="0" applyFont="1" applyBorder="1" applyAlignment="1">
      <alignment vertical="center"/>
    </xf>
    <xf numFmtId="0" fontId="28" fillId="0" borderId="6" xfId="0" applyFont="1" applyBorder="1" applyAlignment="1">
      <alignment horizontal="left" vertical="center" readingOrder="1"/>
    </xf>
    <xf numFmtId="0" fontId="29" fillId="0" borderId="6" xfId="10" applyFont="1" applyBorder="1" applyAlignment="1">
      <alignment horizontal="left" vertical="center" readingOrder="1"/>
    </xf>
    <xf numFmtId="0" fontId="28" fillId="14" borderId="6" xfId="0" applyFont="1" applyFill="1" applyBorder="1" applyAlignment="1">
      <alignment horizontal="left" vertical="center" readingOrder="1"/>
    </xf>
    <xf numFmtId="164" fontId="28" fillId="21" borderId="6" xfId="1" applyNumberFormat="1" applyFont="1" applyFill="1" applyBorder="1" applyAlignment="1">
      <alignment horizontal="right" vertical="center" readingOrder="1"/>
    </xf>
    <xf numFmtId="164" fontId="28" fillId="7" borderId="6" xfId="1" applyNumberFormat="1" applyFont="1" applyFill="1" applyBorder="1" applyAlignment="1">
      <alignment horizontal="right" vertical="center" readingOrder="1"/>
    </xf>
    <xf numFmtId="164" fontId="28" fillId="20" borderId="6" xfId="1" applyNumberFormat="1" applyFont="1" applyFill="1" applyBorder="1" applyAlignment="1">
      <alignment horizontal="right" vertical="center" readingOrder="1"/>
    </xf>
    <xf numFmtId="164" fontId="28" fillId="17" borderId="6" xfId="1" applyNumberFormat="1" applyFont="1" applyFill="1" applyBorder="1" applyAlignment="1">
      <alignment horizontal="right" vertical="center" readingOrder="1"/>
    </xf>
    <xf numFmtId="164" fontId="28" fillId="33" borderId="6" xfId="1" applyNumberFormat="1" applyFont="1" applyFill="1" applyBorder="1" applyAlignment="1">
      <alignment horizontal="right" vertical="center" readingOrder="1"/>
    </xf>
    <xf numFmtId="164" fontId="28" fillId="26" borderId="6" xfId="1" applyNumberFormat="1" applyFont="1" applyFill="1" applyBorder="1" applyAlignment="1">
      <alignment horizontal="right" vertical="center" readingOrder="1"/>
    </xf>
    <xf numFmtId="164" fontId="28" fillId="4" borderId="6" xfId="1" applyNumberFormat="1" applyFont="1" applyFill="1" applyBorder="1" applyAlignment="1">
      <alignment horizontal="right" vertical="center" readingOrder="1"/>
    </xf>
    <xf numFmtId="0" fontId="30" fillId="0" borderId="0" xfId="0" applyFont="1"/>
    <xf numFmtId="0" fontId="28" fillId="0" borderId="0" xfId="0" applyFont="1" applyAlignment="1">
      <alignment vertical="center"/>
    </xf>
    <xf numFmtId="0" fontId="32" fillId="0" borderId="6" xfId="10" applyFont="1" applyBorder="1" applyAlignment="1">
      <alignment horizontal="left" vertical="center" readingOrder="1"/>
    </xf>
    <xf numFmtId="0" fontId="30" fillId="0" borderId="6" xfId="0" applyFont="1" applyBorder="1"/>
    <xf numFmtId="14" fontId="0" fillId="0" borderId="0" xfId="0" applyNumberFormat="1" applyAlignment="1">
      <alignment horizontal="left"/>
    </xf>
    <xf numFmtId="0" fontId="0" fillId="0" borderId="3" xfId="0" applyBorder="1" applyAlignment="1">
      <alignment horizontal="center"/>
    </xf>
    <xf numFmtId="164" fontId="3" fillId="0" borderId="0" xfId="1" applyNumberFormat="1" applyFont="1"/>
    <xf numFmtId="0" fontId="0" fillId="0" borderId="0" xfId="0" applyAlignment="1">
      <alignment horizontal="right"/>
    </xf>
    <xf numFmtId="14" fontId="0" fillId="0" borderId="0" xfId="0" applyNumberFormat="1" applyAlignment="1">
      <alignment horizontal="right"/>
    </xf>
    <xf numFmtId="0" fontId="26" fillId="0" borderId="0" xfId="0" applyFont="1" applyAlignment="1">
      <alignment horizontal="center" vertical="center"/>
    </xf>
    <xf numFmtId="0" fontId="31" fillId="0" borderId="0" xfId="0" applyFont="1" applyAlignment="1">
      <alignment horizontal="center" vertical="center"/>
    </xf>
    <xf numFmtId="164" fontId="0" fillId="0" borderId="2" xfId="1" applyNumberFormat="1" applyFont="1" applyBorder="1"/>
    <xf numFmtId="164" fontId="0" fillId="0" borderId="2" xfId="0" applyNumberFormat="1" applyBorder="1"/>
    <xf numFmtId="164" fontId="0" fillId="34" borderId="0" xfId="0" applyNumberFormat="1" applyFill="1"/>
    <xf numFmtId="168" fontId="0" fillId="0" borderId="0" xfId="0" applyNumberFormat="1"/>
    <xf numFmtId="168" fontId="12" fillId="0" borderId="0" xfId="0" applyNumberFormat="1" applyFont="1"/>
    <xf numFmtId="0" fontId="12" fillId="0" borderId="0" xfId="0" applyFont="1" applyAlignment="1">
      <alignment horizontal="left" vertical="center" indent="1"/>
    </xf>
    <xf numFmtId="0" fontId="12" fillId="5" borderId="0" xfId="0" applyFont="1" applyFill="1"/>
    <xf numFmtId="0" fontId="12" fillId="5" borderId="0" xfId="0" applyFont="1" applyFill="1" applyAlignment="1">
      <alignment horizontal="center"/>
    </xf>
    <xf numFmtId="0" fontId="33" fillId="0" borderId="0" xfId="0" applyFont="1"/>
    <xf numFmtId="164" fontId="33" fillId="0" borderId="0" xfId="1" applyNumberFormat="1" applyFont="1"/>
    <xf numFmtId="164" fontId="12" fillId="0" borderId="0" xfId="1" applyNumberFormat="1" applyFont="1" applyAlignment="1">
      <alignment horizontal="right"/>
    </xf>
    <xf numFmtId="164" fontId="12" fillId="0" borderId="0" xfId="0" applyNumberFormat="1" applyFont="1" applyAlignment="1">
      <alignment horizontal="right"/>
    </xf>
    <xf numFmtId="164" fontId="12" fillId="0" borderId="0" xfId="0" applyNumberFormat="1" applyFont="1"/>
    <xf numFmtId="164" fontId="12" fillId="5" borderId="0" xfId="0" applyNumberFormat="1" applyFont="1" applyFill="1"/>
    <xf numFmtId="164" fontId="2" fillId="3" borderId="0" xfId="11" applyNumberFormat="1" applyFill="1" applyAlignment="1">
      <alignment horizontal="center" vertical="center"/>
    </xf>
    <xf numFmtId="0" fontId="22" fillId="3" borderId="0" xfId="3" applyFont="1" applyFill="1" applyAlignment="1">
      <alignment horizontal="center" vertical="center" textRotation="255"/>
    </xf>
    <xf numFmtId="164" fontId="2" fillId="29" borderId="0" xfId="13" applyNumberFormat="1" applyAlignment="1">
      <alignment horizontal="center" vertical="center"/>
    </xf>
    <xf numFmtId="0" fontId="22" fillId="29" borderId="0" xfId="13" applyFont="1" applyAlignment="1">
      <alignment horizontal="center" vertical="center" textRotation="255"/>
    </xf>
    <xf numFmtId="0" fontId="22" fillId="2" borderId="0" xfId="3" applyFont="1" applyAlignment="1">
      <alignment horizontal="center" vertical="center" textRotation="255"/>
    </xf>
    <xf numFmtId="0" fontId="22" fillId="10" borderId="0" xfId="3" applyFont="1" applyFill="1" applyAlignment="1">
      <alignment horizontal="center" vertical="center" textRotation="255"/>
    </xf>
    <xf numFmtId="164" fontId="2" fillId="2" borderId="0" xfId="3" applyNumberFormat="1" applyAlignment="1">
      <alignment horizontal="center" vertical="center"/>
    </xf>
    <xf numFmtId="164" fontId="2" fillId="27" borderId="0" xfId="11" applyNumberFormat="1" applyAlignment="1">
      <alignment horizontal="center" vertical="center"/>
    </xf>
    <xf numFmtId="0" fontId="3" fillId="0" borderId="6" xfId="0" applyFont="1" applyFill="1" applyBorder="1" applyAlignment="1">
      <alignment horizontal="left" vertical="center" readingOrder="1"/>
    </xf>
  </cellXfs>
  <cellStyles count="18">
    <cellStyle name="40% - Accent1" xfId="12" builtinId="31"/>
    <cellStyle name="40% - Accent3" xfId="4" builtinId="39"/>
    <cellStyle name="40% - Accent4" xfId="14" builtinId="43"/>
    <cellStyle name="40% - Accent5" xfId="15" builtinId="47"/>
    <cellStyle name="Accent1" xfId="11" builtinId="29"/>
    <cellStyle name="Accent2" xfId="5" builtinId="33"/>
    <cellStyle name="Accent3" xfId="9" builtinId="37"/>
    <cellStyle name="Accent4" xfId="13" builtinId="41"/>
    <cellStyle name="Accent5" xfId="3" builtinId="45"/>
    <cellStyle name="APPS_DEG_Basic_White_Cell_Amount" xfId="17" xr:uid="{7EABB1BF-23AD-4DE9-9EF8-0F50A52DBDC9}"/>
    <cellStyle name="APPS_FormEntry_noborder" xfId="6" xr:uid="{EE5CD5B0-8E1E-4EAB-8BDD-ECDB51721DA7}"/>
    <cellStyle name="Comma" xfId="1" builtinId="3"/>
    <cellStyle name="Currency" xfId="2" builtinId="4"/>
    <cellStyle name="Explanatory Text" xfId="16" builtinId="53"/>
    <cellStyle name="Hyperlink" xfId="10" builtinId="8"/>
    <cellStyle name="Normal" xfId="0" builtinId="0"/>
    <cellStyle name="Percent" xfId="7" builtinId="5"/>
    <cellStyle name="wr_6" xfId="8" xr:uid="{BE1B80FF-AE88-4CBE-B42C-9E9B452B9C7F}"/>
  </cellStyles>
  <dxfs count="0"/>
  <tableStyles count="0" defaultTableStyle="TableStyleMedium2" defaultPivotStyle="PivotStyleLight16"/>
  <colors>
    <mruColors>
      <color rgb="FFFFF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microsoft.com/office/2007/relationships/slicerCache" Target="slicerCaches/slicerCache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microsoft.com/office/2007/relationships/slicerCache" Target="slicerCaches/slicerCache1.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microsoft.com/office/2007/relationships/slicerCache" Target="slicerCaches/slicerCache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microsoft.com/office/2007/relationships/slicerCache" Target="slicerCaches/slicerCache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pivotCacheDefinition" Target="pivotCache/pivotCacheDefinition1.xml"/><Relationship Id="rId6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0.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0.png"/><Relationship Id="rId3" Type="http://schemas.openxmlformats.org/officeDocument/2006/relationships/image" Target="../media/image10.png"/><Relationship Id="rId7" Type="http://schemas.openxmlformats.org/officeDocument/2006/relationships/image" Target="../media/image14.png"/><Relationship Id="rId12" Type="http://schemas.openxmlformats.org/officeDocument/2006/relationships/image" Target="../media/image19.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5" Type="http://schemas.openxmlformats.org/officeDocument/2006/relationships/image" Target="../media/image12.png"/><Relationship Id="rId10" Type="http://schemas.openxmlformats.org/officeDocument/2006/relationships/image" Target="../media/image17.png"/><Relationship Id="rId4" Type="http://schemas.openxmlformats.org/officeDocument/2006/relationships/image" Target="../media/image11.png"/><Relationship Id="rId9"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29937</xdr:colOff>
      <xdr:row>33</xdr:row>
      <xdr:rowOff>121104</xdr:rowOff>
    </xdr:from>
    <xdr:to>
      <xdr:col>4</xdr:col>
      <xdr:colOff>1076325</xdr:colOff>
      <xdr:row>36</xdr:row>
      <xdr:rowOff>66676</xdr:rowOff>
    </xdr:to>
    <xdr:sp macro="" textlink="">
      <xdr:nvSpPr>
        <xdr:cNvPr id="2" name="TextBox 1">
          <a:extLst>
            <a:ext uri="{FF2B5EF4-FFF2-40B4-BE49-F238E27FC236}">
              <a16:creationId xmlns:a16="http://schemas.microsoft.com/office/drawing/2014/main" id="{9A062AE8-EF94-46D2-1C7F-15F1CFBDDB5B}"/>
            </a:ext>
          </a:extLst>
        </xdr:cNvPr>
        <xdr:cNvSpPr txBox="1"/>
      </xdr:nvSpPr>
      <xdr:spPr>
        <a:xfrm>
          <a:off x="29937" y="6474279"/>
          <a:ext cx="5504088" cy="488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(1) - estimated funded projects is anticipated</a:t>
          </a:r>
          <a:r>
            <a:rPr lang="en-US" sz="1050" baseline="0"/>
            <a:t> </a:t>
          </a:r>
          <a:r>
            <a:rPr lang="en-US" sz="1050"/>
            <a:t>funding to be transferred back to the school for approved FRP projects from FRP program funds.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19050</xdr:colOff>
      <xdr:row>0</xdr:row>
      <xdr:rowOff>76200</xdr:rowOff>
    </xdr:from>
    <xdr:to>
      <xdr:col>17</xdr:col>
      <xdr:colOff>2181</xdr:colOff>
      <xdr:row>9</xdr:row>
      <xdr:rowOff>130862</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4"/>
          </a:solidFill>
        </a:ln>
      </xdr:spPr>
    </xdr:pic>
    <xdr:clientData/>
  </xdr:twoCellAnchor>
  <xdr:twoCellAnchor editAs="oneCell">
    <xdr:from>
      <xdr:col>8</xdr:col>
      <xdr:colOff>12246</xdr:colOff>
      <xdr:row>10</xdr:row>
      <xdr:rowOff>63954</xdr:rowOff>
    </xdr:from>
    <xdr:to>
      <xdr:col>17</xdr:col>
      <xdr:colOff>0</xdr:colOff>
      <xdr:row>18</xdr:row>
      <xdr:rowOff>132201</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8</xdr:col>
      <xdr:colOff>0</xdr:colOff>
      <xdr:row>19</xdr:row>
      <xdr:rowOff>63954</xdr:rowOff>
    </xdr:from>
    <xdr:to>
      <xdr:col>17</xdr:col>
      <xdr:colOff>2720</xdr:colOff>
      <xdr:row>28</xdr:row>
      <xdr:rowOff>16550</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8</xdr:col>
      <xdr:colOff>0</xdr:colOff>
      <xdr:row>25</xdr:row>
      <xdr:rowOff>0</xdr:rowOff>
    </xdr:from>
    <xdr:to>
      <xdr:col>17</xdr:col>
      <xdr:colOff>10082</xdr:colOff>
      <xdr:row>33</xdr:row>
      <xdr:rowOff>121480</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8</xdr:col>
      <xdr:colOff>25854</xdr:colOff>
      <xdr:row>34</xdr:row>
      <xdr:rowOff>0</xdr:rowOff>
    </xdr:from>
    <xdr:to>
      <xdr:col>17</xdr:col>
      <xdr:colOff>0</xdr:colOff>
      <xdr:row>42</xdr:row>
      <xdr:rowOff>97088</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8</xdr:col>
      <xdr:colOff>25854</xdr:colOff>
      <xdr:row>43</xdr:row>
      <xdr:rowOff>38100</xdr:rowOff>
    </xdr:from>
    <xdr:to>
      <xdr:col>17</xdr:col>
      <xdr:colOff>0</xdr:colOff>
      <xdr:row>51</xdr:row>
      <xdr:rowOff>121307</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88704" y="8543925"/>
          <a:ext cx="5889171" cy="1532377"/>
        </a:xfrm>
        <a:prstGeom prst="rect">
          <a:avLst/>
        </a:prstGeom>
        <a:ln>
          <a:solidFill>
            <a:schemeClr val="accent1"/>
          </a:solidFill>
        </a:ln>
      </xdr:spPr>
    </xdr:pic>
    <xdr:clientData/>
  </xdr:twoCellAnchor>
  <xdr:twoCellAnchor editAs="oneCell">
    <xdr:from>
      <xdr:col>8</xdr:col>
      <xdr:colOff>9525</xdr:colOff>
      <xdr:row>52</xdr:row>
      <xdr:rowOff>66675</xdr:rowOff>
    </xdr:from>
    <xdr:to>
      <xdr:col>16</xdr:col>
      <xdr:colOff>583738</xdr:colOff>
      <xdr:row>60</xdr:row>
      <xdr:rowOff>45105</xdr:rowOff>
    </xdr:to>
    <xdr:pic>
      <xdr:nvPicPr>
        <xdr:cNvPr id="8" name="Picture 7">
          <a:extLst>
            <a:ext uri="{FF2B5EF4-FFF2-40B4-BE49-F238E27FC236}">
              <a16:creationId xmlns:a16="http://schemas.microsoft.com/office/drawing/2014/main" id="{CBAC6D82-40FE-3D13-8B48-579544EA9BF3}"/>
            </a:ext>
          </a:extLst>
        </xdr:cNvPr>
        <xdr:cNvPicPr>
          <a:picLocks noChangeAspect="1"/>
        </xdr:cNvPicPr>
      </xdr:nvPicPr>
      <xdr:blipFill rotWithShape="1">
        <a:blip xmlns:r="http://schemas.openxmlformats.org/officeDocument/2006/relationships" r:embed="rId7"/>
        <a:srcRect r="5779"/>
        <a:stretch/>
      </xdr:blipFill>
      <xdr:spPr>
        <a:xfrm>
          <a:off x="7077075" y="10734675"/>
          <a:ext cx="5448300" cy="1505160"/>
        </a:xfrm>
        <a:prstGeom prst="rect">
          <a:avLst/>
        </a:prstGeom>
        <a:ln>
          <a:solidFill>
            <a:schemeClr val="accent1"/>
          </a:solidFill>
        </a:ln>
      </xdr:spPr>
    </xdr:pic>
    <xdr:clientData/>
  </xdr:twoCellAnchor>
  <xdr:twoCellAnchor editAs="oneCell">
    <xdr:from>
      <xdr:col>7</xdr:col>
      <xdr:colOff>647700</xdr:colOff>
      <xdr:row>60</xdr:row>
      <xdr:rowOff>152400</xdr:rowOff>
    </xdr:from>
    <xdr:to>
      <xdr:col>16</xdr:col>
      <xdr:colOff>608240</xdr:colOff>
      <xdr:row>69</xdr:row>
      <xdr:rowOff>97193</xdr:rowOff>
    </xdr:to>
    <xdr:pic>
      <xdr:nvPicPr>
        <xdr:cNvPr id="9" name="Picture 8">
          <a:extLst>
            <a:ext uri="{FF2B5EF4-FFF2-40B4-BE49-F238E27FC236}">
              <a16:creationId xmlns:a16="http://schemas.microsoft.com/office/drawing/2014/main" id="{908AD47D-A9DF-9586-3CC6-676A17B152A4}"/>
            </a:ext>
          </a:extLst>
        </xdr:cNvPr>
        <xdr:cNvPicPr>
          <a:picLocks noChangeAspect="1"/>
        </xdr:cNvPicPr>
      </xdr:nvPicPr>
      <xdr:blipFill>
        <a:blip xmlns:r="http://schemas.openxmlformats.org/officeDocument/2006/relationships" r:embed="rId8"/>
        <a:stretch>
          <a:fillRect/>
        </a:stretch>
      </xdr:blipFill>
      <xdr:spPr>
        <a:xfrm>
          <a:off x="7553325" y="11734800"/>
          <a:ext cx="5905500" cy="1568126"/>
        </a:xfrm>
        <a:prstGeom prst="rect">
          <a:avLst/>
        </a:prstGeom>
        <a:ln>
          <a:solidFill>
            <a:schemeClr val="accent1"/>
          </a:solidFill>
        </a:ln>
      </xdr:spPr>
    </xdr:pic>
    <xdr:clientData/>
  </xdr:twoCellAnchor>
  <xdr:twoCellAnchor editAs="oneCell">
    <xdr:from>
      <xdr:col>8</xdr:col>
      <xdr:colOff>47625</xdr:colOff>
      <xdr:row>70</xdr:row>
      <xdr:rowOff>47625</xdr:rowOff>
    </xdr:from>
    <xdr:to>
      <xdr:col>16</xdr:col>
      <xdr:colOff>598166</xdr:colOff>
      <xdr:row>79</xdr:row>
      <xdr:rowOff>11107</xdr:rowOff>
    </xdr:to>
    <xdr:pic>
      <xdr:nvPicPr>
        <xdr:cNvPr id="10" name="Picture 9">
          <a:extLst>
            <a:ext uri="{FF2B5EF4-FFF2-40B4-BE49-F238E27FC236}">
              <a16:creationId xmlns:a16="http://schemas.microsoft.com/office/drawing/2014/main" id="{B4198AD9-D8E6-60BA-7AD2-A1124317D775}"/>
            </a:ext>
          </a:extLst>
        </xdr:cNvPr>
        <xdr:cNvPicPr>
          <a:picLocks noChangeAspect="1"/>
        </xdr:cNvPicPr>
      </xdr:nvPicPr>
      <xdr:blipFill>
        <a:blip xmlns:r="http://schemas.openxmlformats.org/officeDocument/2006/relationships" r:embed="rId9"/>
        <a:stretch>
          <a:fillRect/>
        </a:stretch>
      </xdr:blipFill>
      <xdr:spPr>
        <a:xfrm>
          <a:off x="6181725" y="13439775"/>
          <a:ext cx="5808340" cy="1592258"/>
        </a:xfrm>
        <a:prstGeom prst="rect">
          <a:avLst/>
        </a:prstGeom>
        <a:ln>
          <a:solidFill>
            <a:schemeClr val="accent1"/>
          </a:solidFill>
        </a:ln>
      </xdr:spPr>
    </xdr:pic>
    <xdr:clientData/>
  </xdr:twoCellAnchor>
  <xdr:twoCellAnchor editAs="oneCell">
    <xdr:from>
      <xdr:col>8</xdr:col>
      <xdr:colOff>57150</xdr:colOff>
      <xdr:row>79</xdr:row>
      <xdr:rowOff>133350</xdr:rowOff>
    </xdr:from>
    <xdr:to>
      <xdr:col>16</xdr:col>
      <xdr:colOff>591358</xdr:colOff>
      <xdr:row>88</xdr:row>
      <xdr:rowOff>36953</xdr:rowOff>
    </xdr:to>
    <xdr:pic>
      <xdr:nvPicPr>
        <xdr:cNvPr id="11" name="Picture 10">
          <a:extLst>
            <a:ext uri="{FF2B5EF4-FFF2-40B4-BE49-F238E27FC236}">
              <a16:creationId xmlns:a16="http://schemas.microsoft.com/office/drawing/2014/main" id="{28E9303E-D850-120B-B991-E45407188014}"/>
            </a:ext>
          </a:extLst>
        </xdr:cNvPr>
        <xdr:cNvPicPr>
          <a:picLocks noChangeAspect="1"/>
        </xdr:cNvPicPr>
      </xdr:nvPicPr>
      <xdr:blipFill>
        <a:blip xmlns:r="http://schemas.openxmlformats.org/officeDocument/2006/relationships" r:embed="rId10"/>
        <a:stretch>
          <a:fillRect/>
        </a:stretch>
      </xdr:blipFill>
      <xdr:spPr>
        <a:xfrm>
          <a:off x="6191250" y="15154275"/>
          <a:ext cx="5792008" cy="1532378"/>
        </a:xfrm>
        <a:prstGeom prst="rect">
          <a:avLst/>
        </a:prstGeom>
        <a:ln>
          <a:solidFill>
            <a:schemeClr val="accent1"/>
          </a:solidFill>
        </a:ln>
      </xdr:spPr>
    </xdr:pic>
    <xdr:clientData/>
  </xdr:twoCellAnchor>
  <xdr:twoCellAnchor editAs="oneCell">
    <xdr:from>
      <xdr:col>8</xdr:col>
      <xdr:colOff>66675</xdr:colOff>
      <xdr:row>88</xdr:row>
      <xdr:rowOff>161925</xdr:rowOff>
    </xdr:from>
    <xdr:to>
      <xdr:col>16</xdr:col>
      <xdr:colOff>570943</xdr:colOff>
      <xdr:row>97</xdr:row>
      <xdr:rowOff>35589</xdr:rowOff>
    </xdr:to>
    <xdr:pic>
      <xdr:nvPicPr>
        <xdr:cNvPr id="12" name="Picture 11">
          <a:extLst>
            <a:ext uri="{FF2B5EF4-FFF2-40B4-BE49-F238E27FC236}">
              <a16:creationId xmlns:a16="http://schemas.microsoft.com/office/drawing/2014/main" id="{257C027B-B0E9-C2BB-DE53-3945D26BE80B}"/>
            </a:ext>
          </a:extLst>
        </xdr:cNvPr>
        <xdr:cNvPicPr>
          <a:picLocks noChangeAspect="1"/>
        </xdr:cNvPicPr>
      </xdr:nvPicPr>
      <xdr:blipFill>
        <a:blip xmlns:r="http://schemas.openxmlformats.org/officeDocument/2006/relationships" r:embed="rId11"/>
        <a:stretch>
          <a:fillRect/>
        </a:stretch>
      </xdr:blipFill>
      <xdr:spPr>
        <a:xfrm>
          <a:off x="6200775" y="16811625"/>
          <a:ext cx="5762068" cy="1502439"/>
        </a:xfrm>
        <a:prstGeom prst="rect">
          <a:avLst/>
        </a:prstGeom>
        <a:ln>
          <a:solidFill>
            <a:schemeClr val="accent1"/>
          </a:solidFill>
        </a:ln>
      </xdr:spPr>
    </xdr:pic>
    <xdr:clientData/>
  </xdr:twoCellAnchor>
  <xdr:twoCellAnchor editAs="oneCell">
    <xdr:from>
      <xdr:col>8</xdr:col>
      <xdr:colOff>15553</xdr:colOff>
      <xdr:row>98</xdr:row>
      <xdr:rowOff>23724</xdr:rowOff>
    </xdr:from>
    <xdr:to>
      <xdr:col>17</xdr:col>
      <xdr:colOff>6999</xdr:colOff>
      <xdr:row>106</xdr:row>
      <xdr:rowOff>45031</xdr:rowOff>
    </xdr:to>
    <xdr:pic>
      <xdr:nvPicPr>
        <xdr:cNvPr id="13" name="Picture 12">
          <a:extLst>
            <a:ext uri="{FF2B5EF4-FFF2-40B4-BE49-F238E27FC236}">
              <a16:creationId xmlns:a16="http://schemas.microsoft.com/office/drawing/2014/main" id="{35A1C739-0A30-0283-0F53-559BC332F20C}"/>
            </a:ext>
          </a:extLst>
        </xdr:cNvPr>
        <xdr:cNvPicPr>
          <a:picLocks noChangeAspect="1"/>
        </xdr:cNvPicPr>
      </xdr:nvPicPr>
      <xdr:blipFill>
        <a:blip xmlns:r="http://schemas.openxmlformats.org/officeDocument/2006/relationships" r:embed="rId12"/>
        <a:stretch>
          <a:fillRect/>
        </a:stretch>
      </xdr:blipFill>
      <xdr:spPr>
        <a:xfrm>
          <a:off x="6150430" y="19058173"/>
          <a:ext cx="5831632" cy="1515566"/>
        </a:xfrm>
        <a:prstGeom prst="rect">
          <a:avLst/>
        </a:prstGeom>
        <a:ln>
          <a:solidFill>
            <a:schemeClr val="accent1"/>
          </a:solidFill>
        </a:ln>
      </xdr:spPr>
    </xdr:pic>
    <xdr:clientData/>
  </xdr:twoCellAnchor>
  <xdr:twoCellAnchor editAs="oneCell">
    <xdr:from>
      <xdr:col>8</xdr:col>
      <xdr:colOff>19050</xdr:colOff>
      <xdr:row>106</xdr:row>
      <xdr:rowOff>152400</xdr:rowOff>
    </xdr:from>
    <xdr:to>
      <xdr:col>17</xdr:col>
      <xdr:colOff>8164</xdr:colOff>
      <xdr:row>115</xdr:row>
      <xdr:rowOff>38323</xdr:rowOff>
    </xdr:to>
    <xdr:pic>
      <xdr:nvPicPr>
        <xdr:cNvPr id="14" name="Picture 13">
          <a:extLst>
            <a:ext uri="{FF2B5EF4-FFF2-40B4-BE49-F238E27FC236}">
              <a16:creationId xmlns:a16="http://schemas.microsoft.com/office/drawing/2014/main" id="{BEDB6BAC-54A6-E6CF-3A7F-8E4B94EA4E9B}"/>
            </a:ext>
          </a:extLst>
        </xdr:cNvPr>
        <xdr:cNvPicPr>
          <a:picLocks noChangeAspect="1"/>
        </xdr:cNvPicPr>
      </xdr:nvPicPr>
      <xdr:blipFill>
        <a:blip xmlns:r="http://schemas.openxmlformats.org/officeDocument/2006/relationships" r:embed="rId13"/>
        <a:stretch>
          <a:fillRect/>
        </a:stretch>
      </xdr:blipFill>
      <xdr:spPr>
        <a:xfrm>
          <a:off x="5838825" y="20345400"/>
          <a:ext cx="5476875" cy="1600423"/>
        </a:xfrm>
        <a:prstGeom prst="rect">
          <a:avLst/>
        </a:prstGeom>
        <a:ln>
          <a:solidFill>
            <a:schemeClr val="accent1"/>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21738</xdr:colOff>
      <xdr:row>0</xdr:row>
      <xdr:rowOff>121104</xdr:rowOff>
    </xdr:from>
    <xdr:to>
      <xdr:col>17</xdr:col>
      <xdr:colOff>2159</xdr:colOff>
      <xdr:row>8</xdr:row>
      <xdr:rowOff>111579</xdr:rowOff>
    </xdr:to>
    <xdr:pic>
      <xdr:nvPicPr>
        <xdr:cNvPr id="2" name="Picture 1">
          <a:extLst>
            <a:ext uri="{FF2B5EF4-FFF2-40B4-BE49-F238E27FC236}">
              <a16:creationId xmlns:a16="http://schemas.microsoft.com/office/drawing/2014/main" id="{C5BA6385-DE98-282A-6CCA-AEEC52D2D968}"/>
            </a:ext>
          </a:extLst>
        </xdr:cNvPr>
        <xdr:cNvPicPr>
          <a:picLocks noChangeAspect="1"/>
        </xdr:cNvPicPr>
      </xdr:nvPicPr>
      <xdr:blipFill>
        <a:blip xmlns:r="http://schemas.openxmlformats.org/officeDocument/2006/relationships" r:embed="rId1"/>
        <a:stretch>
          <a:fillRect/>
        </a:stretch>
      </xdr:blipFill>
      <xdr:spPr>
        <a:xfrm>
          <a:off x="6936888" y="121104"/>
          <a:ext cx="5206925" cy="1438275"/>
        </a:xfrm>
        <a:prstGeom prst="rect">
          <a:avLst/>
        </a:prstGeom>
        <a:ln>
          <a:solidFill>
            <a:schemeClr val="accent5"/>
          </a:solidFill>
        </a:ln>
      </xdr:spPr>
    </xdr:pic>
    <xdr:clientData/>
  </xdr:twoCellAnchor>
  <xdr:twoCellAnchor editAs="oneCell">
    <xdr:from>
      <xdr:col>9</xdr:col>
      <xdr:colOff>8165</xdr:colOff>
      <xdr:row>9</xdr:row>
      <xdr:rowOff>5442</xdr:rowOff>
    </xdr:from>
    <xdr:to>
      <xdr:col>17</xdr:col>
      <xdr:colOff>1</xdr:colOff>
      <xdr:row>16</xdr:row>
      <xdr:rowOff>121356</xdr:rowOff>
    </xdr:to>
    <xdr:pic>
      <xdr:nvPicPr>
        <xdr:cNvPr id="3" name="Picture 2">
          <a:extLst>
            <a:ext uri="{FF2B5EF4-FFF2-40B4-BE49-F238E27FC236}">
              <a16:creationId xmlns:a16="http://schemas.microsoft.com/office/drawing/2014/main" id="{0E66636C-07E2-0615-0EDD-DE0C4810C2E4}"/>
            </a:ext>
          </a:extLst>
        </xdr:cNvPr>
        <xdr:cNvPicPr>
          <a:picLocks noChangeAspect="1"/>
        </xdr:cNvPicPr>
      </xdr:nvPicPr>
      <xdr:blipFill>
        <a:blip xmlns:r="http://schemas.openxmlformats.org/officeDocument/2006/relationships" r:embed="rId2"/>
        <a:stretch>
          <a:fillRect/>
        </a:stretch>
      </xdr:blipFill>
      <xdr:spPr>
        <a:xfrm>
          <a:off x="6931479" y="1670956"/>
          <a:ext cx="5216980" cy="1409966"/>
        </a:xfrm>
        <a:prstGeom prst="rect">
          <a:avLst/>
        </a:prstGeom>
        <a:ln>
          <a:solidFill>
            <a:schemeClr val="accent2"/>
          </a:solidFill>
        </a:ln>
      </xdr:spPr>
    </xdr:pic>
    <xdr:clientData/>
  </xdr:twoCellAnchor>
  <xdr:twoCellAnchor editAs="oneCell">
    <xdr:from>
      <xdr:col>9</xdr:col>
      <xdr:colOff>32657</xdr:colOff>
      <xdr:row>17</xdr:row>
      <xdr:rowOff>51010</xdr:rowOff>
    </xdr:from>
    <xdr:to>
      <xdr:col>16</xdr:col>
      <xdr:colOff>608904</xdr:colOff>
      <xdr:row>24</xdr:row>
      <xdr:rowOff>126531</xdr:rowOff>
    </xdr:to>
    <xdr:pic>
      <xdr:nvPicPr>
        <xdr:cNvPr id="4" name="Picture 3">
          <a:extLst>
            <a:ext uri="{FF2B5EF4-FFF2-40B4-BE49-F238E27FC236}">
              <a16:creationId xmlns:a16="http://schemas.microsoft.com/office/drawing/2014/main" id="{476315D3-AA5E-605E-B457-C410F06134F0}"/>
            </a:ext>
          </a:extLst>
        </xdr:cNvPr>
        <xdr:cNvPicPr>
          <a:picLocks noChangeAspect="1"/>
        </xdr:cNvPicPr>
      </xdr:nvPicPr>
      <xdr:blipFill>
        <a:blip xmlns:r="http://schemas.openxmlformats.org/officeDocument/2006/relationships" r:embed="rId3"/>
        <a:stretch>
          <a:fillRect/>
        </a:stretch>
      </xdr:blipFill>
      <xdr:spPr>
        <a:xfrm>
          <a:off x="6955971" y="3196982"/>
          <a:ext cx="5176822" cy="1364130"/>
        </a:xfrm>
        <a:prstGeom prst="rect">
          <a:avLst/>
        </a:prstGeom>
        <a:ln>
          <a:solidFill>
            <a:schemeClr val="accent2"/>
          </a:solidFill>
        </a:ln>
      </xdr:spPr>
    </xdr:pic>
    <xdr:clientData/>
  </xdr:twoCellAnchor>
  <xdr:twoCellAnchor editAs="oneCell">
    <xdr:from>
      <xdr:col>9</xdr:col>
      <xdr:colOff>16331</xdr:colOff>
      <xdr:row>25</xdr:row>
      <xdr:rowOff>19050</xdr:rowOff>
    </xdr:from>
    <xdr:to>
      <xdr:col>17</xdr:col>
      <xdr:colOff>1359</xdr:colOff>
      <xdr:row>32</xdr:row>
      <xdr:rowOff>143293</xdr:rowOff>
    </xdr:to>
    <xdr:pic>
      <xdr:nvPicPr>
        <xdr:cNvPr id="5" name="Picture 4">
          <a:extLst>
            <a:ext uri="{FF2B5EF4-FFF2-40B4-BE49-F238E27FC236}">
              <a16:creationId xmlns:a16="http://schemas.microsoft.com/office/drawing/2014/main" id="{B41271F2-15EC-0FD3-C38E-38F247E387DE}"/>
            </a:ext>
          </a:extLst>
        </xdr:cNvPr>
        <xdr:cNvPicPr>
          <a:picLocks noChangeAspect="1"/>
        </xdr:cNvPicPr>
      </xdr:nvPicPr>
      <xdr:blipFill>
        <a:blip xmlns:r="http://schemas.openxmlformats.org/officeDocument/2006/relationships" r:embed="rId4"/>
        <a:stretch>
          <a:fillRect/>
        </a:stretch>
      </xdr:blipFill>
      <xdr:spPr>
        <a:xfrm>
          <a:off x="6931481" y="4543425"/>
          <a:ext cx="5203370" cy="1391060"/>
        </a:xfrm>
        <a:prstGeom prst="rect">
          <a:avLst/>
        </a:prstGeom>
        <a:ln>
          <a:solidFill>
            <a:schemeClr val="accent2"/>
          </a:solidFill>
        </a:ln>
      </xdr:spPr>
    </xdr:pic>
    <xdr:clientData/>
  </xdr:twoCellAnchor>
  <xdr:twoCellAnchor editAs="oneCell">
    <xdr:from>
      <xdr:col>9</xdr:col>
      <xdr:colOff>8164</xdr:colOff>
      <xdr:row>33</xdr:row>
      <xdr:rowOff>19050</xdr:rowOff>
    </xdr:from>
    <xdr:to>
      <xdr:col>17</xdr:col>
      <xdr:colOff>1358</xdr:colOff>
      <xdr:row>40</xdr:row>
      <xdr:rowOff>123816</xdr:rowOff>
    </xdr:to>
    <xdr:pic>
      <xdr:nvPicPr>
        <xdr:cNvPr id="6" name="Picture 5">
          <a:extLst>
            <a:ext uri="{FF2B5EF4-FFF2-40B4-BE49-F238E27FC236}">
              <a16:creationId xmlns:a16="http://schemas.microsoft.com/office/drawing/2014/main" id="{A8C66A8A-EDA9-4523-EEBE-02065A626E24}"/>
            </a:ext>
          </a:extLst>
        </xdr:cNvPr>
        <xdr:cNvPicPr>
          <a:picLocks noChangeAspect="1"/>
        </xdr:cNvPicPr>
      </xdr:nvPicPr>
      <xdr:blipFill>
        <a:blip xmlns:r="http://schemas.openxmlformats.org/officeDocument/2006/relationships" r:embed="rId5"/>
        <a:stretch>
          <a:fillRect/>
        </a:stretch>
      </xdr:blipFill>
      <xdr:spPr>
        <a:xfrm>
          <a:off x="6923314" y="5991225"/>
          <a:ext cx="5211536" cy="1371599"/>
        </a:xfrm>
        <a:prstGeom prst="rect">
          <a:avLst/>
        </a:prstGeom>
        <a:ln>
          <a:solidFill>
            <a:schemeClr val="accent2"/>
          </a:solidFill>
        </a:ln>
      </xdr:spPr>
    </xdr:pic>
    <xdr:clientData/>
  </xdr:twoCellAnchor>
  <xdr:twoCellAnchor editAs="oneCell">
    <xdr:from>
      <xdr:col>9</xdr:col>
      <xdr:colOff>10883</xdr:colOff>
      <xdr:row>41</xdr:row>
      <xdr:rowOff>19048</xdr:rowOff>
    </xdr:from>
    <xdr:to>
      <xdr:col>17</xdr:col>
      <xdr:colOff>9520</xdr:colOff>
      <xdr:row>49</xdr:row>
      <xdr:rowOff>133305</xdr:rowOff>
    </xdr:to>
    <xdr:pic>
      <xdr:nvPicPr>
        <xdr:cNvPr id="7" name="Picture 6">
          <a:extLst>
            <a:ext uri="{FF2B5EF4-FFF2-40B4-BE49-F238E27FC236}">
              <a16:creationId xmlns:a16="http://schemas.microsoft.com/office/drawing/2014/main" id="{46C10395-7AA6-76CA-2E2E-DAFC2A929F65}"/>
            </a:ext>
          </a:extLst>
        </xdr:cNvPr>
        <xdr:cNvPicPr>
          <a:picLocks noChangeAspect="1"/>
        </xdr:cNvPicPr>
      </xdr:nvPicPr>
      <xdr:blipFill>
        <a:blip xmlns:r="http://schemas.openxmlformats.org/officeDocument/2006/relationships" r:embed="rId6"/>
        <a:stretch>
          <a:fillRect/>
        </a:stretch>
      </xdr:blipFill>
      <xdr:spPr>
        <a:xfrm>
          <a:off x="6926033" y="7439023"/>
          <a:ext cx="5256441" cy="1567499"/>
        </a:xfrm>
        <a:prstGeom prst="rect">
          <a:avLst/>
        </a:prstGeom>
        <a:ln>
          <a:solidFill>
            <a:schemeClr val="accent2"/>
          </a:solidFill>
        </a:ln>
      </xdr:spPr>
    </xdr:pic>
    <xdr:clientData/>
  </xdr:twoCellAnchor>
  <xdr:twoCellAnchor editAs="oneCell">
    <xdr:from>
      <xdr:col>8</xdr:col>
      <xdr:colOff>639537</xdr:colOff>
      <xdr:row>50</xdr:row>
      <xdr:rowOff>84364</xdr:rowOff>
    </xdr:from>
    <xdr:to>
      <xdr:col>16</xdr:col>
      <xdr:colOff>654063</xdr:colOff>
      <xdr:row>58</xdr:row>
      <xdr:rowOff>47625</xdr:rowOff>
    </xdr:to>
    <xdr:pic>
      <xdr:nvPicPr>
        <xdr:cNvPr id="8" name="Picture 7">
          <a:extLst>
            <a:ext uri="{FF2B5EF4-FFF2-40B4-BE49-F238E27FC236}">
              <a16:creationId xmlns:a16="http://schemas.microsoft.com/office/drawing/2014/main" id="{01C1E47C-7343-D528-8E7F-566402AA1ECE}"/>
            </a:ext>
          </a:extLst>
        </xdr:cNvPr>
        <xdr:cNvPicPr>
          <a:picLocks noChangeAspect="1"/>
        </xdr:cNvPicPr>
      </xdr:nvPicPr>
      <xdr:blipFill>
        <a:blip xmlns:r="http://schemas.openxmlformats.org/officeDocument/2006/relationships" r:embed="rId7"/>
        <a:stretch>
          <a:fillRect/>
        </a:stretch>
      </xdr:blipFill>
      <xdr:spPr>
        <a:xfrm>
          <a:off x="6897462" y="9133114"/>
          <a:ext cx="5272326" cy="1411061"/>
        </a:xfrm>
        <a:prstGeom prst="rect">
          <a:avLst/>
        </a:prstGeom>
        <a:ln>
          <a:solidFill>
            <a:schemeClr val="accent2"/>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29936</xdr:colOff>
      <xdr:row>56</xdr:row>
      <xdr:rowOff>58510</xdr:rowOff>
    </xdr:from>
    <xdr:to>
      <xdr:col>7</xdr:col>
      <xdr:colOff>914400</xdr:colOff>
      <xdr:row>59</xdr:row>
      <xdr:rowOff>9526</xdr:rowOff>
    </xdr:to>
    <xdr:sp macro="" textlink="">
      <xdr:nvSpPr>
        <xdr:cNvPr id="2" name="TextBox 1">
          <a:extLst>
            <a:ext uri="{FF2B5EF4-FFF2-40B4-BE49-F238E27FC236}">
              <a16:creationId xmlns:a16="http://schemas.microsoft.com/office/drawing/2014/main" id="{7A3948AF-1AB2-464A-A54A-AA243F82CF10}"/>
            </a:ext>
          </a:extLst>
        </xdr:cNvPr>
        <xdr:cNvSpPr txBox="1"/>
      </xdr:nvSpPr>
      <xdr:spPr>
        <a:xfrm>
          <a:off x="268061" y="8392885"/>
          <a:ext cx="10628539" cy="4939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(1) - estimated total budget represents the best rough order of magnitude for total project costs.</a:t>
          </a:r>
        </a:p>
        <a:p>
          <a:pPr algn="l"/>
          <a:r>
            <a:rPr lang="en-US" sz="1050"/>
            <a:t>(2) - FYxx FRP funding indicates </a:t>
          </a:r>
          <a:r>
            <a:rPr lang="en-US" sz="1100">
              <a:solidFill>
                <a:schemeClr val="dk1"/>
              </a:solidFill>
              <a:effectLst/>
              <a:latin typeface="+mn-lt"/>
              <a:ea typeface="+mn-ea"/>
              <a:cs typeface="+mn-cs"/>
            </a:rPr>
            <a:t>anticipated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funding to be transferred back to the school for approved FRP projects from FRP program funds. </a:t>
          </a:r>
          <a:endParaRPr lang="en-US" sz="105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68038</xdr:colOff>
      <xdr:row>4</xdr:row>
      <xdr:rowOff>2720</xdr:rowOff>
    </xdr:from>
    <xdr:to>
      <xdr:col>13</xdr:col>
      <xdr:colOff>370117</xdr:colOff>
      <xdr:row>10</xdr:row>
      <xdr:rowOff>163357</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2856031" y="726620"/>
              <a:ext cx="1621963" cy="124513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144231</xdr:colOff>
      <xdr:row>4</xdr:row>
      <xdr:rowOff>2719</xdr:rowOff>
    </xdr:from>
    <xdr:to>
      <xdr:col>10</xdr:col>
      <xdr:colOff>534638</xdr:colOff>
      <xdr:row>33</xdr:row>
      <xdr:rowOff>111597</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10308767" y="726619"/>
              <a:ext cx="2360721" cy="535715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17688</xdr:colOff>
      <xdr:row>4</xdr:row>
      <xdr:rowOff>8164</xdr:rowOff>
    </xdr:from>
    <xdr:to>
      <xdr:col>7</xdr:col>
      <xdr:colOff>16329</xdr:colOff>
      <xdr:row>20</xdr:row>
      <xdr:rowOff>29960</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8211909" y="736146"/>
              <a:ext cx="1970316" cy="290922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35379</xdr:colOff>
      <xdr:row>4</xdr:row>
      <xdr:rowOff>16328</xdr:rowOff>
    </xdr:from>
    <xdr:to>
      <xdr:col>17</xdr:col>
      <xdr:colOff>257182</xdr:colOff>
      <xdr:row>19</xdr:row>
      <xdr:rowOff>28582</xdr:rowOff>
    </xdr:to>
    <mc:AlternateContent xmlns:mc="http://schemas.openxmlformats.org/markup-compatibility/2006" xmlns:a14="http://schemas.microsoft.com/office/drawing/2010/main">
      <mc:Choice Requires="a14">
        <xdr:graphicFrame macro="">
          <xdr:nvGraphicFramePr>
            <xdr:cNvPr id="3" name="Phase">
              <a:extLst>
                <a:ext uri="{FF2B5EF4-FFF2-40B4-BE49-F238E27FC236}">
                  <a16:creationId xmlns:a16="http://schemas.microsoft.com/office/drawing/2014/main" id="{EE27D517-1BD9-76C7-A741-C9491496F1BE}"/>
                </a:ext>
              </a:extLst>
            </xdr:cNvPr>
            <xdr:cNvGraphicFramePr/>
          </xdr:nvGraphicFramePr>
          <xdr:xfrm>
            <a:off x="0" y="0"/>
            <a:ext cx="0" cy="0"/>
          </xdr:xfrm>
          <a:graphic>
            <a:graphicData uri="http://schemas.microsoft.com/office/drawing/2010/slicer">
              <sle:slicer xmlns:sle="http://schemas.microsoft.com/office/drawing/2010/slicer" name="Phase"/>
            </a:graphicData>
          </a:graphic>
        </xdr:graphicFrame>
      </mc:Choice>
      <mc:Fallback xmlns="">
        <xdr:sp macro="" textlink="">
          <xdr:nvSpPr>
            <xdr:cNvPr id="0" name=""/>
            <xdr:cNvSpPr>
              <a:spLocks noTextEdit="1"/>
            </xdr:cNvSpPr>
          </xdr:nvSpPr>
          <xdr:spPr>
            <a:xfrm>
              <a:off x="14799129" y="742950"/>
              <a:ext cx="1831521" cy="25622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96157</xdr:colOff>
      <xdr:row>65</xdr:row>
      <xdr:rowOff>115207</xdr:rowOff>
    </xdr:from>
    <xdr:to>
      <xdr:col>9</xdr:col>
      <xdr:colOff>992913</xdr:colOff>
      <xdr:row>79</xdr:row>
      <xdr:rowOff>174087</xdr:rowOff>
    </xdr:to>
    <xdr:pic>
      <xdr:nvPicPr>
        <xdr:cNvPr id="2" name="Picture 1">
          <a:extLst>
            <a:ext uri="{FF2B5EF4-FFF2-40B4-BE49-F238E27FC236}">
              <a16:creationId xmlns:a16="http://schemas.microsoft.com/office/drawing/2014/main" id="{FD45EF97-3C27-4D0E-9765-0FD287D8E672}"/>
            </a:ext>
          </a:extLst>
        </xdr:cNvPr>
        <xdr:cNvPicPr>
          <a:picLocks noChangeAspect="1"/>
        </xdr:cNvPicPr>
      </xdr:nvPicPr>
      <xdr:blipFill>
        <a:blip xmlns:r="http://schemas.openxmlformats.org/officeDocument/2006/relationships" r:embed="rId1"/>
        <a:stretch>
          <a:fillRect/>
        </a:stretch>
      </xdr:blipFill>
      <xdr:spPr>
        <a:xfrm>
          <a:off x="420007" y="9906907"/>
          <a:ext cx="5678306" cy="2592530"/>
        </a:xfrm>
        <a:prstGeom prst="rect">
          <a:avLst/>
        </a:prstGeom>
        <a:ln>
          <a:solidFill>
            <a:schemeClr val="accent4">
              <a:lumMod val="50000"/>
            </a:schemeClr>
          </a:solidFill>
        </a:ln>
      </xdr:spPr>
    </xdr:pic>
    <xdr:clientData/>
  </xdr:twoCellAnchor>
  <xdr:twoCellAnchor editAs="oneCell">
    <xdr:from>
      <xdr:col>9</xdr:col>
      <xdr:colOff>1211188</xdr:colOff>
      <xdr:row>74</xdr:row>
      <xdr:rowOff>75293</xdr:rowOff>
    </xdr:from>
    <xdr:to>
      <xdr:col>21</xdr:col>
      <xdr:colOff>875863</xdr:colOff>
      <xdr:row>79</xdr:row>
      <xdr:rowOff>142005</xdr:rowOff>
    </xdr:to>
    <xdr:pic>
      <xdr:nvPicPr>
        <xdr:cNvPr id="3" name="Picture 2">
          <a:extLst>
            <a:ext uri="{FF2B5EF4-FFF2-40B4-BE49-F238E27FC236}">
              <a16:creationId xmlns:a16="http://schemas.microsoft.com/office/drawing/2014/main" id="{00C5867D-2A3E-A814-5688-98337FDF7A67}"/>
            </a:ext>
          </a:extLst>
        </xdr:cNvPr>
        <xdr:cNvPicPr>
          <a:picLocks noChangeAspect="1"/>
        </xdr:cNvPicPr>
      </xdr:nvPicPr>
      <xdr:blipFill>
        <a:blip xmlns:r="http://schemas.openxmlformats.org/officeDocument/2006/relationships" r:embed="rId2"/>
        <a:stretch>
          <a:fillRect/>
        </a:stretch>
      </xdr:blipFill>
      <xdr:spPr>
        <a:xfrm>
          <a:off x="6316588" y="11495768"/>
          <a:ext cx="9827850" cy="974256"/>
        </a:xfrm>
        <a:prstGeom prst="rect">
          <a:avLst/>
        </a:prstGeom>
        <a:ln>
          <a:solidFill>
            <a:schemeClr val="bg2">
              <a:lumMod val="50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130629</xdr:colOff>
      <xdr:row>21</xdr:row>
      <xdr:rowOff>44904</xdr:rowOff>
    </xdr:from>
    <xdr:to>
      <xdr:col>4</xdr:col>
      <xdr:colOff>2620688</xdr:colOff>
      <xdr:row>34</xdr:row>
      <xdr:rowOff>35824</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30629" y="3845379"/>
          <a:ext cx="6240641" cy="2343595"/>
        </a:xfrm>
        <a:prstGeom prst="rect">
          <a:avLst/>
        </a:prstGeom>
        <a:ln>
          <a:solidFill>
            <a:schemeClr val="accent3"/>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97971</xdr:colOff>
      <xdr:row>42</xdr:row>
      <xdr:rowOff>178254</xdr:rowOff>
    </xdr:from>
    <xdr:to>
      <xdr:col>15</xdr:col>
      <xdr:colOff>210501</xdr:colOff>
      <xdr:row>60</xdr:row>
      <xdr:rowOff>11830</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0</xdr:colOff>
      <xdr:row>24</xdr:row>
      <xdr:rowOff>31296</xdr:rowOff>
    </xdr:from>
    <xdr:to>
      <xdr:col>8</xdr:col>
      <xdr:colOff>521899</xdr:colOff>
      <xdr:row>45</xdr:row>
      <xdr:rowOff>2227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0" y="4022271"/>
          <a:ext cx="11770139" cy="3771406"/>
        </a:xfrm>
        <a:prstGeom prst="rect">
          <a:avLst/>
        </a:prstGeom>
        <a:ln>
          <a:solidFill>
            <a:schemeClr val="accent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13</xdr:col>
      <xdr:colOff>438176</xdr:colOff>
      <xdr:row>58</xdr:row>
      <xdr:rowOff>7744</xdr:rowOff>
    </xdr:to>
    <xdr:pic>
      <xdr:nvPicPr>
        <xdr:cNvPr id="2" name="Picture 1">
          <a:extLst>
            <a:ext uri="{FF2B5EF4-FFF2-40B4-BE49-F238E27FC236}">
              <a16:creationId xmlns:a16="http://schemas.microsoft.com/office/drawing/2014/main" id="{4ADE716A-18E1-476C-ADC2-143E9543733A}"/>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83306</xdr:colOff>
      <xdr:row>22</xdr:row>
      <xdr:rowOff>107194</xdr:rowOff>
    </xdr:from>
    <xdr:to>
      <xdr:col>5</xdr:col>
      <xdr:colOff>428798</xdr:colOff>
      <xdr:row>60</xdr:row>
      <xdr:rowOff>167424</xdr:rowOff>
    </xdr:to>
    <xdr:pic>
      <xdr:nvPicPr>
        <xdr:cNvPr id="3" name="Picture 2">
          <a:extLst>
            <a:ext uri="{FF2B5EF4-FFF2-40B4-BE49-F238E27FC236}">
              <a16:creationId xmlns:a16="http://schemas.microsoft.com/office/drawing/2014/main" id="{8B92EBD3-A3F9-5906-BDAD-778C277C26CD}"/>
            </a:ext>
          </a:extLst>
        </xdr:cNvPr>
        <xdr:cNvPicPr>
          <a:picLocks noChangeAspect="1"/>
        </xdr:cNvPicPr>
      </xdr:nvPicPr>
      <xdr:blipFill>
        <a:blip xmlns:r="http://schemas.openxmlformats.org/officeDocument/2006/relationships" r:embed="rId1"/>
        <a:stretch>
          <a:fillRect/>
        </a:stretch>
      </xdr:blipFill>
      <xdr:spPr>
        <a:xfrm>
          <a:off x="83306" y="4065361"/>
          <a:ext cx="8822742" cy="6897063"/>
        </a:xfrm>
        <a:prstGeom prst="rect">
          <a:avLst/>
        </a:prstGeom>
        <a:ln>
          <a:solidFill>
            <a:schemeClr val="accent6"/>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43090</xdr:colOff>
      <xdr:row>21</xdr:row>
      <xdr:rowOff>128513</xdr:rowOff>
    </xdr:from>
    <xdr:to>
      <xdr:col>9</xdr:col>
      <xdr:colOff>551033</xdr:colOff>
      <xdr:row>29</xdr:row>
      <xdr:rowOff>135518</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43090" y="3906763"/>
          <a:ext cx="12536355" cy="1449059"/>
        </a:xfrm>
        <a:prstGeom prst="rect">
          <a:avLst/>
        </a:prstGeom>
        <a:ln w="19050">
          <a:solidFill>
            <a:schemeClr val="accent3"/>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rowhurst, Stacey" id="{25485ED3-42D9-422C-9A77-5F76F434CCD0}" userId="S::stacey.crowhurst@vanderbilt.edu::9bff91b9-a036-4fd8-91c7-d442dc172f21"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5356.583683449076" createdVersion="8" refreshedVersion="8" minRefreshableVersion="3" recordCount="49" xr:uid="{4DC34609-0CBA-4BEE-8D09-85740F976574}">
  <cacheSource type="worksheet">
    <worksheetSource ref="B3:X51" sheet="Project Status"/>
  </cacheSource>
  <cacheFields count="23">
    <cacheField name="Capex / Opex" numFmtId="0">
      <sharedItems count="3">
        <s v="Operating"/>
        <s v="Capital"/>
        <s v="TBD"/>
      </sharedItems>
    </cacheField>
    <cacheField name="eBuilder" numFmtId="0">
      <sharedItems containsMixedTypes="1" containsNumber="1" containsInteger="1" minValue="10085" maxValue="20940"/>
    </cacheField>
    <cacheField name="AiM" numFmtId="0">
      <sharedItems containsString="0" containsBlank="1" containsNumber="1" containsInteger="1" minValue="529" maxValue="36015"/>
    </cacheField>
    <cacheField name="Oracle" numFmtId="0">
      <sharedItems containsBlank="1"/>
    </cacheField>
    <cacheField name="School" numFmtId="0">
      <sharedItems count="11">
        <s v="21000 - Peabody College: Office of the Dean"/>
        <s v="18200 - Basic Sciences: Office of the Dean"/>
        <s v="19100 - Nursing: Business Affairs"/>
        <s v="17100 - Law: Business Affairs"/>
        <s v="13000 - Blair: Office of the Dean"/>
        <s v="14000 - Divinity: Office of the Dean"/>
        <s v="12000 - Arts and Science: Office of the Dean"/>
        <s v="15000 - Engineering: Office of the Dean"/>
        <s v="20000 - Owen: Office of the Dean"/>
        <s v="10000 - Office of the Chancellor"/>
        <s v="19000 - Nursing: Office of the Dean"/>
      </sharedItems>
    </cacheField>
    <cacheField name="Lookup" numFmtId="0">
      <sharedItems count="11">
        <s v="Peabody"/>
        <s v="SOM Basic Sciences"/>
        <s v="Nursing"/>
        <s v="Law"/>
        <s v="Blair"/>
        <s v="Divinity"/>
        <s v="Arts &amp; Science"/>
        <s v="Engineering"/>
        <s v="Owen"/>
        <s v="Other"/>
        <e v="#N/A" u="1"/>
      </sharedItems>
    </cacheField>
    <cacheField name="Building" numFmtId="0">
      <sharedItems count="25">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 v="SC PHYSICS &amp; ASTRONOMY"/>
        <s v="SEIGENTHALER CENTER"/>
        <s v="BIOMOLECULAR NMR"/>
        <s v="VAUGHN HOME"/>
        <s v="FRIST HALL"/>
        <s v="NEELY AUDITORIUM"/>
      </sharedItems>
    </cacheField>
    <cacheField name="Project" numFmtId="0">
      <sharedItems count="49">
        <s v="One Magnolia Circle - Modify/Upgrade Electrical and Grounding"/>
        <s v="MRB III - 4th Floor - Replace Controls (Phase 2)"/>
        <s v="Godchaux Hall - HVAC Upgrade"/>
        <s v="Law School - Fire Alarm System Replacement"/>
        <s v="Blair School of Music - Elevator #3 Modernization"/>
        <s v="Divinity Air Handling Unit Replacement, (5/6)- Phase 1"/>
        <s v="Bryan Building - Swing Space Renovation - A&amp;S Planning"/>
        <s v="Divinity Air Handling Unit Replacement, (1/3) - Phase 2 with Benton"/>
        <s v="Jesup - Roof Replacement"/>
        <s v="Wyatt Center - Window Replacement"/>
        <s v="Wyatt Center - VAV Replacement"/>
        <s v="Keck FEL - Roof Replacement"/>
        <s v="SC Chemistry (SC7) - Elevator 1 &amp; 2 Modernization"/>
        <s v="Wyatt Center - Roof Replacement"/>
        <s v="MRB III - Steam Coil Replacement"/>
        <s v="Blair School of Music - Air Handling Unit Replacement -Phase 1"/>
        <s v="Peabody Administration - Envelope Repairs"/>
        <s v="Benson Old Central - Replace Soffit and Doors"/>
        <s v="1025 16th Avenue - Mechanical and Electrical Upgrades"/>
        <s v="Keck FEL - Mechanical Upgrades"/>
        <s v="Wilson Hall - Fire Alarm Replacement"/>
        <s v="SC-7 Chemistry - SG-1 Removal and Connection to Central Plant Steam"/>
        <s v="SC-5 - Chemical Discharge Replacement"/>
        <s v="Wyatt Center - Elevator #2 Modernization"/>
        <s v="Buttrick Hall - 3rd Floor Inequality Renovations"/>
        <s v="MRB III - 9th Floor (with 4 ,5 &amp; 8) - Replace Controls (Phase 3)"/>
        <s v="Blair School of Music - Steam Line"/>
        <s v="Owen - Roof Replacement (Third Level)"/>
        <s v="Six Magnolia Circle - Foundation Repairs"/>
        <s v="SC4 - Interstitial Space HVAC Modifications"/>
        <s v="OGSM Old Mechanical- Slate Roof &amp; Window Replacement"/>
        <s v="Law School - Sections 1, 2, &amp; 3  Roof Replacement"/>
        <s v="SC6 - HVAC Upgrades - Feasibility Study"/>
        <s v="Wilson Hall - HVAC Replacement"/>
        <s v="SC5 - HVAC Replacement"/>
        <s v="Wyatt Center - HVAC Upgrades - Engineering Study"/>
        <s v="Seigenthaler Building Conversion"/>
        <s v="One Magnolia Circle - Elevator Modernization"/>
        <s v="NMR - Replace Air Compressors"/>
        <s v="Buttrick Hall - Elevator Upgrades"/>
        <s v="Benson Hall - Elevator Upgrades"/>
        <s v="Wilson Hall - Elevator Upgrades"/>
        <s v="Vaughn Home - Exterior Improvements"/>
        <s v="Frist Hall - Stairwell Roof Replacement"/>
        <s v="Blair School of Music - AHU 2/3 Replacement  - Phase 2 - FY26"/>
        <s v="Neely Auditorium - MEP Feasibility Study"/>
        <s v="Wilson Hall - Lighting Retrofit for 103 and 126"/>
        <s v="1025 16th Avenue - Security System Replacement"/>
        <s v="Law School - Exterior Window Painting"/>
      </sharedItems>
    </cacheField>
    <cacheField name="Phase" numFmtId="0">
      <sharedItems count="10">
        <s v="Finalized"/>
        <s v="Financial Closeout"/>
        <s v="Award"/>
        <s v="Warranty or Construction Closeout"/>
        <s v="Construction"/>
        <s v="Not Started"/>
        <s v="Design"/>
        <s v="Bidding"/>
        <s v="Programming or Planning"/>
        <s v="Planning"/>
      </sharedItems>
    </cacheField>
    <cacheField name="Manager" numFmtId="0">
      <sharedItems/>
    </cacheField>
    <cacheField name="Estimated total budget" numFmtId="164">
      <sharedItems containsString="0" containsBlank="1" containsNumber="1" minValue="0" maxValue="4650000"/>
    </cacheField>
    <cacheField name="Approved budget" numFmtId="164">
      <sharedItems containsString="0" containsBlank="1" containsNumber="1" minValue="0" maxValue="3800000"/>
    </cacheField>
    <cacheField name="Approved commitments" numFmtId="164">
      <sharedItems containsString="0" containsBlank="1" containsNumber="1" minValue="0" maxValue="3540067.72"/>
    </cacheField>
    <cacheField name="Projected commitments" numFmtId="164">
      <sharedItems containsString="0" containsBlank="1" containsNumber="1" minValue="0" maxValue="3540067.72"/>
    </cacheField>
    <cacheField name="Invoices Approved" numFmtId="164">
      <sharedItems containsString="0" containsBlank="1" containsNumber="1" minValue="0" maxValue="1352423.14"/>
    </cacheField>
    <cacheField name="Unallocated Reserve" numFmtId="164">
      <sharedItems containsString="0" containsBlank="1" containsNumber="1" minValue="0" maxValue="604000"/>
    </cacheField>
    <cacheField name="FY23 FRP Cash Transferred" numFmtId="164">
      <sharedItems containsString="0" containsBlank="1" containsNumber="1" minValue="0" maxValue="1232681"/>
    </cacheField>
    <cacheField name="FY24 FRP Transferred" numFmtId="164">
      <sharedItems containsString="0" containsBlank="1" containsNumber="1" minValue="-44850" maxValue="3660360"/>
    </cacheField>
    <cacheField name="FY24 FRP Estimated" numFmtId="164">
      <sharedItems containsBlank="1" containsMixedTypes="1" containsNumber="1" containsInteger="1" minValue="0" maxValue="2000000"/>
    </cacheField>
    <cacheField name="FY24 FRP Total Contribution" numFmtId="164">
      <sharedItems containsString="0" containsBlank="1" containsNumber="1" minValue="-44850" maxValue="3660360"/>
    </cacheField>
    <cacheField name="FY25 FRP Estimated" numFmtId="164">
      <sharedItems containsBlank="1" containsMixedTypes="1" containsNumber="1" containsInteger="1" minValue="0" maxValue="3200000"/>
    </cacheField>
    <cacheField name="FY26 FRP Estimated" numFmtId="164">
      <sharedItems containsBlank="1" containsMixedTypes="1" containsNumber="1" containsInteger="1" minValue="0" maxValue="3170000"/>
    </cacheField>
    <cacheField name="Project status update" numFmtId="0">
      <sharedItems longText="1"/>
    </cacheField>
  </cacheFields>
  <extLst>
    <ext xmlns:x14="http://schemas.microsoft.com/office/spreadsheetml/2009/9/main" uri="{725AE2AE-9491-48be-B2B4-4EB974FC3084}">
      <x14:pivotCacheDefinition pivotCacheId="134978329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
  <r>
    <x v="0"/>
    <n v="10085"/>
    <n v="4591"/>
    <m/>
    <x v="0"/>
    <x v="0"/>
    <x v="0"/>
    <x v="0"/>
    <x v="0"/>
    <s v="Sean Rewers"/>
    <n v="17500"/>
    <n v="22000"/>
    <n v="17500"/>
    <n v="17500"/>
    <n v="17500"/>
    <n v="0"/>
    <n v="17500"/>
    <n v="0"/>
    <n v="0"/>
    <n v="0"/>
    <n v="0"/>
    <n v="0"/>
    <s v="03/22/2023 Project is in closeout."/>
  </r>
  <r>
    <x v="1"/>
    <n v="10098"/>
    <n v="1627"/>
    <s v="CP_400023"/>
    <x v="1"/>
    <x v="1"/>
    <x v="1"/>
    <x v="1"/>
    <x v="1"/>
    <s v="Hans Mooy"/>
    <n v="1216485.5"/>
    <n v="1216485.5"/>
    <n v="1212084.54"/>
    <n v="1212084.54"/>
    <n v="1212084.54"/>
    <n v="0"/>
    <n v="1216485.5"/>
    <n v="-4400.96"/>
    <n v="0"/>
    <n v="-4400.96"/>
    <n v="0"/>
    <n v="0"/>
    <s v="08/22/2023 project complete"/>
  </r>
  <r>
    <x v="1"/>
    <n v="10146"/>
    <n v="4418"/>
    <s v="CP_400025"/>
    <x v="2"/>
    <x v="2"/>
    <x v="2"/>
    <x v="2"/>
    <x v="2"/>
    <s v="Sean Rewers"/>
    <n v="0"/>
    <n v="318057"/>
    <n v="73600"/>
    <n v="228355.7"/>
    <n v="62100"/>
    <n v="0"/>
    <n v="4900"/>
    <n v="255957"/>
    <n v="0"/>
    <n v="255957"/>
    <n v="0"/>
    <n v="0"/>
    <s v="02/27/2024 Project has been awarded, PO as been sent to Beech. We will be working on schedule in March for summer install."/>
  </r>
  <r>
    <x v="1"/>
    <n v="20179"/>
    <n v="36015"/>
    <s v="CP_400024"/>
    <x v="3"/>
    <x v="3"/>
    <x v="3"/>
    <x v="3"/>
    <x v="3"/>
    <s v="Bob Grummon"/>
    <n v="1445389"/>
    <n v="1445389"/>
    <n v="1352423.14"/>
    <n v="1352423.14"/>
    <n v="1352423.14"/>
    <n v="92965.86"/>
    <n v="722694.5"/>
    <n v="0"/>
    <n v="0"/>
    <n v="0"/>
    <n v="0"/>
    <n v="0"/>
    <s v="02/23/2024 work is complete"/>
  </r>
  <r>
    <x v="1"/>
    <n v="20336"/>
    <n v="20075"/>
    <s v="CP_400056"/>
    <x v="4"/>
    <x v="4"/>
    <x v="4"/>
    <x v="4"/>
    <x v="3"/>
    <s v="Ben Bedock"/>
    <n v="327890"/>
    <n v="327890"/>
    <n v="280600"/>
    <n v="280600"/>
    <n v="280600"/>
    <n v="47290"/>
    <n v="327890"/>
    <n v="0"/>
    <n v="0"/>
    <n v="0"/>
    <n v="0"/>
    <n v="0"/>
    <s v="01/22/2024 Project complete.  Waiting on final invoice to clear to begin the financial closeout process."/>
  </r>
  <r>
    <x v="1"/>
    <n v="20431"/>
    <n v="8084"/>
    <s v="CP_400108"/>
    <x v="5"/>
    <x v="5"/>
    <x v="5"/>
    <x v="5"/>
    <x v="4"/>
    <s v="Hans Mooy"/>
    <n v="3800000"/>
    <n v="3800000"/>
    <n v="3540067.72"/>
    <n v="3540067.72"/>
    <n v="123926.15"/>
    <n v="126060"/>
    <n v="69862.5"/>
    <n v="3660360"/>
    <n v="0"/>
    <n v="3660360"/>
    <n v="0"/>
    <n v="0"/>
    <s v="02/22/2024 01/24/2024 Project on schedule and under budget."/>
  </r>
  <r>
    <x v="1"/>
    <n v="20478"/>
    <n v="8672"/>
    <s v="CP_400182"/>
    <x v="6"/>
    <x v="6"/>
    <x v="6"/>
    <x v="6"/>
    <x v="3"/>
    <s v="Cathy Bartlett"/>
    <n v="2790000"/>
    <n v="2790000"/>
    <n v="2467964.41"/>
    <n v="2467964.41"/>
    <n v="1164380.99"/>
    <n v="604000"/>
    <n v="81100"/>
    <n v="1028900"/>
    <n v="0"/>
    <n v="1028900"/>
    <n v="0"/>
    <n v="0"/>
    <s v="02/23/2024 The interior fitout was completed in August and A&amp;S is actively occupying the building. Mechanical rooftop units and partial roof replacement began in December and is substantially complete. Issues with winter construction (roof, RTU's) are being addressed with DPR."/>
  </r>
  <r>
    <x v="1"/>
    <n v="20489"/>
    <n v="8051"/>
    <s v="CP_400183"/>
    <x v="5"/>
    <x v="5"/>
    <x v="5"/>
    <x v="7"/>
    <x v="5"/>
    <s v="Hans Mooy"/>
    <n v="4650000"/>
    <n v="26500"/>
    <n v="15895"/>
    <n v="15895"/>
    <n v="14407.5"/>
    <n v="3000"/>
    <n v="26500"/>
    <n v="0"/>
    <n v="0"/>
    <n v="0"/>
    <n v="0"/>
    <n v="3170000"/>
    <s v="10/23/2023 On Hold till FY26"/>
  </r>
  <r>
    <x v="1"/>
    <n v="20497"/>
    <n v="529"/>
    <s v="CP_400127"/>
    <x v="0"/>
    <x v="0"/>
    <x v="7"/>
    <x v="8"/>
    <x v="0"/>
    <s v="Ben Bedock"/>
    <n v="456850"/>
    <n v="456850"/>
    <n v="412000"/>
    <n v="412000"/>
    <n v="412000"/>
    <n v="0"/>
    <n v="79415.5"/>
    <n v="-44850"/>
    <n v="0"/>
    <n v="-44850"/>
    <n v="0"/>
    <n v="0"/>
    <s v="09/22/2023 Project complete.  Financial closeout process to begin after confirmation that all invoices have been submitted, approved and cleared."/>
  </r>
  <r>
    <x v="1"/>
    <n v="20506"/>
    <n v="1170"/>
    <s v="CP_400192"/>
    <x v="0"/>
    <x v="0"/>
    <x v="8"/>
    <x v="9"/>
    <x v="0"/>
    <s v="Ben Bedock"/>
    <n v="344155.26"/>
    <n v="344155.26"/>
    <n v="307776.26"/>
    <n v="307776.26"/>
    <n v="307776.26"/>
    <n v="0"/>
    <n v="344155.26"/>
    <n v="-36379"/>
    <n v="0"/>
    <n v="-36379"/>
    <n v="0"/>
    <n v="0"/>
    <s v="09/22/2023 Project complete.  Financial closeout process to begin after confirmation that all invoices have been submitted, approved and cleared."/>
  </r>
  <r>
    <x v="1"/>
    <n v="20562"/>
    <n v="4564"/>
    <s v="CP_400175"/>
    <x v="0"/>
    <x v="0"/>
    <x v="8"/>
    <x v="10"/>
    <x v="3"/>
    <s v="Sean Rewers"/>
    <n v="400000"/>
    <n v="405791"/>
    <n v="362559.64"/>
    <n v="362559.64"/>
    <n v="362559.64"/>
    <n v="43231.26"/>
    <n v="405791"/>
    <n v="0"/>
    <n v="0"/>
    <n v="0"/>
    <n v="0"/>
    <n v="0"/>
    <s v="01/22/2024 Project is in closeout"/>
  </r>
  <r>
    <x v="2"/>
    <n v="20563"/>
    <n v="4624"/>
    <m/>
    <x v="7"/>
    <x v="7"/>
    <x v="9"/>
    <x v="11"/>
    <x v="5"/>
    <s v="Ben Bedock"/>
    <n v="386000"/>
    <n v="0"/>
    <n v="0"/>
    <n v="0"/>
    <n v="0"/>
    <n v="0"/>
    <n v="0"/>
    <n v="0"/>
    <n v="0"/>
    <n v="0"/>
    <n v="0"/>
    <s v="TBD"/>
    <s v="03/24/2023 Working with appropriate parties to determine scope of work."/>
  </r>
  <r>
    <x v="1"/>
    <n v="20566"/>
    <n v="20054"/>
    <s v="CP_400151"/>
    <x v="6"/>
    <x v="6"/>
    <x v="10"/>
    <x v="12"/>
    <x v="1"/>
    <s v="Ben Bedock"/>
    <n v="781870"/>
    <n v="781870"/>
    <n v="722586.68"/>
    <n v="722586.68"/>
    <n v="722586.68"/>
    <n v="59283.32"/>
    <n v="781870"/>
    <n v="0"/>
    <n v="0"/>
    <n v="0"/>
    <n v="0"/>
    <n v="0"/>
    <s v="11/22/2023 Project complete.  Waiting on final invoice to clear to begin the financial closeout process."/>
  </r>
  <r>
    <x v="1"/>
    <n v="20573"/>
    <n v="8047"/>
    <s v="CP_400185"/>
    <x v="0"/>
    <x v="0"/>
    <x v="8"/>
    <x v="13"/>
    <x v="3"/>
    <s v="Ben Bedock"/>
    <n v="1232681"/>
    <n v="1232681"/>
    <n v="1113460"/>
    <n v="1113460"/>
    <n v="1113460"/>
    <n v="119221"/>
    <n v="1232681"/>
    <n v="0"/>
    <n v="0"/>
    <n v="0"/>
    <n v="0"/>
    <n v="0"/>
    <s v="01/22/2024 Project is complete.  Waiting on final invoice to clear to begin the closeout process."/>
  </r>
  <r>
    <x v="1"/>
    <n v="20574"/>
    <n v="8145"/>
    <s v="CP_400164"/>
    <x v="1"/>
    <x v="1"/>
    <x v="1"/>
    <x v="14"/>
    <x v="3"/>
    <s v="Sean Rewers"/>
    <n v="218202"/>
    <n v="218202"/>
    <n v="195665"/>
    <n v="195665"/>
    <n v="195665"/>
    <n v="22537"/>
    <n v="218202"/>
    <n v="0"/>
    <n v="0"/>
    <n v="0"/>
    <n v="0"/>
    <n v="0"/>
    <s v="01/22/2024 Project is in closeout"/>
  </r>
  <r>
    <x v="1"/>
    <n v="20577"/>
    <n v="8146"/>
    <s v="CP_400154"/>
    <x v="4"/>
    <x v="4"/>
    <x v="4"/>
    <x v="15"/>
    <x v="6"/>
    <s v="Hans Mooy"/>
    <n v="1500000"/>
    <n v="223000"/>
    <n v="220566.21"/>
    <n v="220566.21"/>
    <n v="185191.21"/>
    <n v="81"/>
    <n v="223000"/>
    <n v="0"/>
    <n v="0"/>
    <n v="0"/>
    <n v="1500000"/>
    <n v="2510000"/>
    <s v="02/22/2024 01/22/2024 11/22/2023 11/22/2023 updated project costs submitted to Facility Renewal committee...Phase 1 FY25 list Prepare drawings for bid/pre-bid walk through"/>
  </r>
  <r>
    <x v="1"/>
    <n v="20644"/>
    <n v="8241"/>
    <s v="CP_400171"/>
    <x v="0"/>
    <x v="0"/>
    <x v="11"/>
    <x v="16"/>
    <x v="1"/>
    <s v="Ben Bedock"/>
    <n v="630554"/>
    <n v="630554"/>
    <n v="571789"/>
    <n v="571789"/>
    <n v="569739"/>
    <n v="58765"/>
    <n v="630554"/>
    <n v="0"/>
    <n v="0"/>
    <n v="0"/>
    <n v="0"/>
    <n v="0"/>
    <s v="10/23/2023 Project complete.  Waiting on final invoice to clear to begin the financial closeout process."/>
  </r>
  <r>
    <x v="0"/>
    <n v="20645"/>
    <n v="8239"/>
    <m/>
    <x v="6"/>
    <x v="6"/>
    <x v="12"/>
    <x v="17"/>
    <x v="3"/>
    <s v="Ben Bedock"/>
    <n v="125875"/>
    <n v="125875"/>
    <n v="114350"/>
    <n v="114350"/>
    <n v="112250"/>
    <n v="11225"/>
    <n v="125875"/>
    <n v="0"/>
    <n v="0"/>
    <n v="0"/>
    <n v="0"/>
    <n v="0"/>
    <s v="02/26/2024 Punchlist items have been discussed with the contractor.  Once items are completed, project is ready to closeout."/>
  </r>
  <r>
    <x v="1"/>
    <n v="20667"/>
    <n v="8168"/>
    <s v="CP_400160"/>
    <x v="7"/>
    <x v="7"/>
    <x v="13"/>
    <x v="18"/>
    <x v="6"/>
    <s v="Sean Rewers"/>
    <n v="0"/>
    <n v="146500"/>
    <n v="146500"/>
    <n v="146500"/>
    <n v="34500"/>
    <n v="0"/>
    <n v="146500"/>
    <n v="0"/>
    <n v="2000000"/>
    <n v="2000000"/>
    <n v="0"/>
    <n v="0"/>
    <s v="02/27/2024 We have come up with a solution that fits our budget for the FRP. We received approval from Engineering on our scaled down version of the project and FRP also approved. Envision is working on a design now."/>
  </r>
  <r>
    <x v="1"/>
    <n v="20668"/>
    <n v="8151"/>
    <s v="CP_400163"/>
    <x v="7"/>
    <x v="7"/>
    <x v="9"/>
    <x v="19"/>
    <x v="6"/>
    <s v="Sean Rewers"/>
    <n v="0"/>
    <n v="231433"/>
    <n v="231433"/>
    <n v="231433"/>
    <n v="88415"/>
    <n v="0"/>
    <n v="206500"/>
    <n v="24933"/>
    <n v="0"/>
    <n v="24933"/>
    <s v="TBD"/>
    <n v="0"/>
    <s v="02/28/2024 Pre-construction is still ongoing. FM Sylvan is working on final pricing and phasing for the project. Project was pushed back to FY25"/>
  </r>
  <r>
    <x v="1"/>
    <n v="20698"/>
    <n v="1138"/>
    <s v="CP_400168"/>
    <x v="6"/>
    <x v="6"/>
    <x v="14"/>
    <x v="20"/>
    <x v="2"/>
    <s v="Sean Rewers"/>
    <n v="680000"/>
    <n v="678513"/>
    <n v="583771"/>
    <n v="583771"/>
    <n v="21207.5"/>
    <n v="0"/>
    <n v="29250"/>
    <n v="649263"/>
    <n v="0"/>
    <n v="649263"/>
    <n v="0"/>
    <n v="0"/>
    <s v="02/27/2024 PO has been issued to Burns and equipment is on order. We will begin scheduling in March with construction slated to start summer 2024."/>
  </r>
  <r>
    <x v="0"/>
    <n v="20700"/>
    <n v="851"/>
    <m/>
    <x v="6"/>
    <x v="6"/>
    <x v="10"/>
    <x v="21"/>
    <x v="1"/>
    <s v="Sean Rewers"/>
    <n v="80000"/>
    <n v="85577"/>
    <n v="85576.77"/>
    <n v="85576.77"/>
    <n v="85576.77"/>
    <n v="0.23"/>
    <n v="79623"/>
    <n v="5954"/>
    <n v="0"/>
    <n v="5954"/>
    <n v="0"/>
    <n v="0"/>
    <s v="11/27/2023 Project is in closeout"/>
  </r>
  <r>
    <x v="1"/>
    <n v="20701"/>
    <n v="4399"/>
    <s v="CP_400198"/>
    <x v="6"/>
    <x v="6"/>
    <x v="15"/>
    <x v="22"/>
    <x v="6"/>
    <s v="Sean Rewers"/>
    <n v="500000"/>
    <n v="499093"/>
    <n v="18000"/>
    <n v="18000"/>
    <n v="9000"/>
    <n v="20500"/>
    <n v="499093"/>
    <n v="0"/>
    <n v="0"/>
    <n v="0"/>
    <n v="0"/>
    <n v="0"/>
    <s v="02/27/2024 Scope of work has been ironed out and we are expecting updated drawings and equipment needs in early March. Project will be put out to bid soon after."/>
  </r>
  <r>
    <x v="1"/>
    <n v="20702"/>
    <n v="8432"/>
    <s v="CP_400165"/>
    <x v="0"/>
    <x v="0"/>
    <x v="8"/>
    <x v="23"/>
    <x v="1"/>
    <s v="Ben Bedock"/>
    <n v="225791"/>
    <n v="239341"/>
    <n v="209419"/>
    <n v="209419"/>
    <n v="209419"/>
    <n v="29922"/>
    <n v="239341"/>
    <n v="0"/>
    <n v="0"/>
    <n v="0"/>
    <n v="0"/>
    <n v="0"/>
    <s v="12/18/2023 Project complete.  Waiting on final invoice to clear to begin the financial closeout process."/>
  </r>
  <r>
    <x v="1"/>
    <n v="20718"/>
    <n v="8608"/>
    <s v="CP_400174"/>
    <x v="6"/>
    <x v="6"/>
    <x v="16"/>
    <x v="24"/>
    <x v="3"/>
    <s v="Erin Fry"/>
    <n v="715000"/>
    <n v="715000"/>
    <n v="651554.6"/>
    <n v="651554.6"/>
    <n v="651346.59"/>
    <n v="63445.4"/>
    <n v="96166"/>
    <n v="0"/>
    <n v="0"/>
    <n v="0"/>
    <n v="0"/>
    <n v="0"/>
    <s v="02/23/2024 Construction complete. Library Closeout process complete. The Financial closeout process has been started."/>
  </r>
  <r>
    <x v="1"/>
    <n v="20723"/>
    <n v="1628"/>
    <s v="CP_400187"/>
    <x v="1"/>
    <x v="1"/>
    <x v="1"/>
    <x v="25"/>
    <x v="6"/>
    <s v="Andy Maddox"/>
    <n v="1610000"/>
    <n v="160500"/>
    <n v="155232.51999999999"/>
    <n v="155232.51999999999"/>
    <n v="138257.51999999999"/>
    <n v="4767"/>
    <n v="160500"/>
    <n v="0"/>
    <n v="0"/>
    <n v="0"/>
    <s v="TBD"/>
    <n v="0"/>
    <s v="02/26/2024 Nothing new to report.  Still waiting on funding approval from SOM."/>
  </r>
  <r>
    <x v="1"/>
    <n v="20724"/>
    <n v="8557"/>
    <s v="CP_400178"/>
    <x v="4"/>
    <x v="4"/>
    <x v="4"/>
    <x v="26"/>
    <x v="4"/>
    <s v="Hans Mooy"/>
    <n v="1987500"/>
    <n v="1987500"/>
    <n v="844823"/>
    <n v="1784625"/>
    <n v="12000"/>
    <n v="0"/>
    <n v="23400"/>
    <n v="1964100"/>
    <n v="0"/>
    <n v="1964100"/>
    <n v="0"/>
    <n v="0"/>
    <s v="02/22/2024 01/22/2024 11/22/2023 10/23/2023 Outside work is underway; Inside work is scheduled for May 2024"/>
  </r>
  <r>
    <x v="0"/>
    <n v="20735"/>
    <n v="8226"/>
    <m/>
    <x v="8"/>
    <x v="8"/>
    <x v="17"/>
    <x v="27"/>
    <x v="3"/>
    <s v="Ben Bedock"/>
    <n v="300000"/>
    <n v="300000"/>
    <n v="276500"/>
    <n v="276500"/>
    <n v="260350"/>
    <n v="23500"/>
    <n v="300000"/>
    <n v="0"/>
    <n v="0"/>
    <n v="0"/>
    <n v="0"/>
    <n v="0"/>
    <s v="02/26/2024 Project is complete.  Contractor is working on punch list items.  Once items complete, project is ready to close."/>
  </r>
  <r>
    <x v="0"/>
    <n v="20767"/>
    <n v="8673"/>
    <m/>
    <x v="0"/>
    <x v="0"/>
    <x v="18"/>
    <x v="28"/>
    <x v="7"/>
    <s v="Jay Surprenant"/>
    <n v="81000"/>
    <n v="0"/>
    <n v="0"/>
    <n v="0"/>
    <n v="0"/>
    <n v="0"/>
    <n v="0"/>
    <n v="0"/>
    <s v="TBD"/>
    <n v="0"/>
    <s v="TBD"/>
    <n v="0"/>
    <s v="02/28/2024 01/26/2024 12/18/2023 Waiting budget approval.  2/28 Scope modified, waiting on additional bid, will modify BAC and resubmit."/>
  </r>
  <r>
    <x v="0"/>
    <n v="20771"/>
    <n v="8674"/>
    <m/>
    <x v="6"/>
    <x v="6"/>
    <x v="10"/>
    <x v="29"/>
    <x v="0"/>
    <s v="Sean Rewers"/>
    <n v="25000"/>
    <n v="24997"/>
    <n v="17972"/>
    <n v="17972"/>
    <n v="17972"/>
    <n v="0"/>
    <n v="24997"/>
    <n v="-7025"/>
    <n v="0"/>
    <n v="-7025"/>
    <n v="0"/>
    <n v="0"/>
    <s v="07/24/2023 Project is complete. I will begin closeout after taking some final photos of the space."/>
  </r>
  <r>
    <x v="1"/>
    <n v="20772"/>
    <n v="8675"/>
    <s v="CP_400235"/>
    <x v="8"/>
    <x v="8"/>
    <x v="17"/>
    <x v="30"/>
    <x v="2"/>
    <s v="Ben Bedock"/>
    <n v="0"/>
    <n v="0"/>
    <n v="0"/>
    <n v="0"/>
    <n v="0"/>
    <n v="0"/>
    <n v="0"/>
    <n v="0"/>
    <n v="0"/>
    <n v="0"/>
    <n v="3200000"/>
    <n v="0"/>
    <s v="02/26/2024 Currently working through the PO process."/>
  </r>
  <r>
    <x v="1"/>
    <n v="20792"/>
    <n v="1035"/>
    <s v="CP_400206"/>
    <x v="3"/>
    <x v="3"/>
    <x v="3"/>
    <x v="31"/>
    <x v="1"/>
    <s v="Ben Bedock"/>
    <n v="400000"/>
    <n v="483440"/>
    <n v="450775"/>
    <n v="450775"/>
    <n v="450775"/>
    <n v="32665"/>
    <n v="483440"/>
    <n v="0"/>
    <n v="0"/>
    <n v="0"/>
    <n v="0"/>
    <n v="0"/>
    <s v="12/18/2023 Construction complete.  Waiting on final invoices to clear to begin the closeout process."/>
  </r>
  <r>
    <x v="0"/>
    <n v="20831"/>
    <n v="8230"/>
    <m/>
    <x v="6"/>
    <x v="6"/>
    <x v="19"/>
    <x v="32"/>
    <x v="6"/>
    <s v="Sean Rewers"/>
    <n v="24000"/>
    <n v="24000"/>
    <n v="24000"/>
    <n v="24000"/>
    <n v="12000"/>
    <n v="0"/>
    <n v="0"/>
    <n v="24000"/>
    <n v="0"/>
    <n v="24000"/>
    <n v="0"/>
    <n v="0"/>
    <s v="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
  </r>
  <r>
    <x v="0"/>
    <n v="20832"/>
    <n v="8220"/>
    <m/>
    <x v="6"/>
    <x v="6"/>
    <x v="14"/>
    <x v="33"/>
    <x v="1"/>
    <s v="Sean Rewers"/>
    <n v="24000"/>
    <n v="24000"/>
    <n v="24000"/>
    <n v="24000"/>
    <n v="24000"/>
    <n v="0"/>
    <n v="0"/>
    <n v="24000"/>
    <n v="0"/>
    <n v="24000"/>
    <n v="0"/>
    <n v="0"/>
    <s v="01/22/2024 Project study and estimated pricing is complete. Project in closeout."/>
  </r>
  <r>
    <x v="0"/>
    <n v="20833"/>
    <n v="8215"/>
    <m/>
    <x v="6"/>
    <x v="6"/>
    <x v="15"/>
    <x v="34"/>
    <x v="6"/>
    <s v="Sean Rewers"/>
    <n v="24000"/>
    <n v="24000"/>
    <n v="24000"/>
    <n v="24000"/>
    <n v="12000"/>
    <n v="0"/>
    <n v="0"/>
    <n v="24000"/>
    <n v="0"/>
    <n v="24000"/>
    <n v="0"/>
    <n v="0"/>
    <s v="02/27/2024 Price estimates are back for the study and have been integrated. We are having a final meeting to discuss the findings with the building managers before closing this project."/>
  </r>
  <r>
    <x v="0"/>
    <n v="20834"/>
    <m/>
    <m/>
    <x v="0"/>
    <x v="0"/>
    <x v="8"/>
    <x v="35"/>
    <x v="0"/>
    <s v="Sean Rewers"/>
    <n v="5000"/>
    <n v="0"/>
    <n v="0"/>
    <n v="0"/>
    <n v="0"/>
    <n v="0"/>
    <n v="0"/>
    <n v="0"/>
    <n v="0"/>
    <n v="0"/>
    <n v="0"/>
    <n v="0"/>
    <s v="09/27/2023 This project is on hold until October. We are awaiting approval from the CBO for initial funding which will be repaid by the FRP."/>
  </r>
  <r>
    <x v="1"/>
    <n v="20838"/>
    <m/>
    <m/>
    <x v="9"/>
    <x v="9"/>
    <x v="20"/>
    <x v="36"/>
    <x v="6"/>
    <s v="Andy Maddox"/>
    <n v="0"/>
    <n v="0"/>
    <n v="0"/>
    <n v="0"/>
    <n v="0"/>
    <m/>
    <m/>
    <m/>
    <s v="TBD"/>
    <n v="0"/>
    <s v="TBD"/>
    <m/>
    <s v="02/26/2024 VUIT, Boetel, and VU Card Services have completed their installation.  Waiting on cameras so they can be installed.  This building will become an FRP building.  Kwasi is working on the capital plan to bring the building up to VU PUC standards - will become a FY25 project - HVAC, AV, rekeying, furniture, renovations, and minor wall rearrangements."/>
  </r>
  <r>
    <x v="1"/>
    <n v="20857"/>
    <n v="8427"/>
    <s v="CP_400227"/>
    <x v="0"/>
    <x v="0"/>
    <x v="0"/>
    <x v="37"/>
    <x v="7"/>
    <s v="Ben Bedock"/>
    <n v="0"/>
    <n v="21600"/>
    <n v="17600"/>
    <n v="21600"/>
    <n v="0"/>
    <n v="0"/>
    <n v="0"/>
    <n v="21600"/>
    <n v="0"/>
    <n v="21600"/>
    <n v="0"/>
    <n v="0"/>
    <s v="02/26/2024 Project is currently out to bid."/>
  </r>
  <r>
    <x v="0"/>
    <n v="20885"/>
    <n v="8676"/>
    <m/>
    <x v="1"/>
    <x v="1"/>
    <x v="21"/>
    <x v="38"/>
    <x v="7"/>
    <s v="Sean Rewers"/>
    <n v="98341"/>
    <n v="0"/>
    <n v="0"/>
    <n v="0"/>
    <n v="0"/>
    <m/>
    <m/>
    <n v="98341"/>
    <n v="0"/>
    <n v="98341"/>
    <m/>
    <m/>
    <s v="02/27/2024 BAC has been started for Nashville Machine for the main install. We are awaiting a CO for controls and connection to BSC."/>
  </r>
  <r>
    <x v="1"/>
    <n v="20911"/>
    <n v="8819"/>
    <m/>
    <x v="6"/>
    <x v="6"/>
    <x v="16"/>
    <x v="39"/>
    <x v="6"/>
    <s v="Ben Bedock"/>
    <n v="75000"/>
    <n v="0"/>
    <n v="0"/>
    <n v="0"/>
    <n v="0"/>
    <m/>
    <m/>
    <n v="4100"/>
    <n v="70900"/>
    <n v="75000"/>
    <m/>
    <m/>
    <s v="02/26/2024 Project is currently out to bid."/>
  </r>
  <r>
    <x v="1"/>
    <n v="20912"/>
    <n v="8822"/>
    <m/>
    <x v="6"/>
    <x v="6"/>
    <x v="12"/>
    <x v="40"/>
    <x v="6"/>
    <s v="Ben Bedock"/>
    <n v="75000"/>
    <n v="0"/>
    <n v="0"/>
    <n v="0"/>
    <n v="0"/>
    <m/>
    <m/>
    <n v="4100"/>
    <n v="70900"/>
    <n v="75000"/>
    <m/>
    <m/>
    <s v="02/26/2024 Project is currently out to bid."/>
  </r>
  <r>
    <x v="1"/>
    <n v="20913"/>
    <n v="8818"/>
    <m/>
    <x v="6"/>
    <x v="6"/>
    <x v="14"/>
    <x v="41"/>
    <x v="6"/>
    <s v="Ben Bedock"/>
    <n v="75000"/>
    <n v="0"/>
    <n v="0"/>
    <n v="0"/>
    <n v="0"/>
    <m/>
    <m/>
    <n v="4100"/>
    <n v="70900"/>
    <n v="75000"/>
    <m/>
    <m/>
    <s v="02/26/2024 Project is currently out to bid."/>
  </r>
  <r>
    <x v="2"/>
    <n v="20922"/>
    <m/>
    <m/>
    <x v="6"/>
    <x v="6"/>
    <x v="22"/>
    <x v="42"/>
    <x v="5"/>
    <s v="Jay Surprenant"/>
    <m/>
    <m/>
    <m/>
    <m/>
    <m/>
    <m/>
    <m/>
    <m/>
    <m/>
    <m/>
    <m/>
    <m/>
    <s v="New project"/>
  </r>
  <r>
    <x v="2"/>
    <n v="20924"/>
    <m/>
    <m/>
    <x v="10"/>
    <x v="2"/>
    <x v="23"/>
    <x v="43"/>
    <x v="8"/>
    <s v="Ben Bedock"/>
    <m/>
    <m/>
    <m/>
    <m/>
    <m/>
    <m/>
    <m/>
    <m/>
    <m/>
    <m/>
    <m/>
    <m/>
    <s v="New project"/>
  </r>
  <r>
    <x v="2"/>
    <n v="20925"/>
    <m/>
    <m/>
    <x v="4"/>
    <x v="4"/>
    <x v="4"/>
    <x v="44"/>
    <x v="5"/>
    <s v="Hans Mooy"/>
    <n v="2750000"/>
    <m/>
    <m/>
    <m/>
    <m/>
    <m/>
    <m/>
    <m/>
    <m/>
    <m/>
    <m/>
    <m/>
    <s v="New project"/>
  </r>
  <r>
    <x v="2"/>
    <n v="20934"/>
    <m/>
    <m/>
    <x v="6"/>
    <x v="6"/>
    <x v="24"/>
    <x v="45"/>
    <x v="5"/>
    <s v="Sean Rewers"/>
    <m/>
    <m/>
    <m/>
    <m/>
    <m/>
    <m/>
    <m/>
    <m/>
    <m/>
    <m/>
    <m/>
    <m/>
    <s v="New project"/>
  </r>
  <r>
    <x v="2"/>
    <n v="20936"/>
    <m/>
    <m/>
    <x v="6"/>
    <x v="6"/>
    <x v="14"/>
    <x v="46"/>
    <x v="5"/>
    <s v="Jay Surprenant"/>
    <m/>
    <m/>
    <m/>
    <m/>
    <m/>
    <m/>
    <m/>
    <m/>
    <m/>
    <m/>
    <m/>
    <m/>
    <s v="New project"/>
  </r>
  <r>
    <x v="2"/>
    <n v="20940"/>
    <m/>
    <m/>
    <x v="7"/>
    <x v="7"/>
    <x v="13"/>
    <x v="47"/>
    <x v="5"/>
    <s v="Sean Rewers"/>
    <m/>
    <m/>
    <m/>
    <m/>
    <m/>
    <m/>
    <m/>
    <m/>
    <m/>
    <m/>
    <m/>
    <m/>
    <s v="New project"/>
  </r>
  <r>
    <x v="0"/>
    <s v="WO#"/>
    <n v="8807"/>
    <m/>
    <x v="3"/>
    <x v="3"/>
    <x v="3"/>
    <x v="48"/>
    <x v="9"/>
    <s v="Terry Haley"/>
    <m/>
    <n v="0"/>
    <n v="0"/>
    <n v="0"/>
    <n v="0"/>
    <m/>
    <m/>
    <m/>
    <n v="420000"/>
    <n v="420000"/>
    <m/>
    <m/>
    <s v="02/28/2024 VUMO coordinating project pla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9FDE441-07FC-4B79-B87E-1615D616C4F0}"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C11" firstHeaderRow="0" firstDataRow="1" firstDataCol="1"/>
  <pivotFields count="23">
    <pivotField showAll="0">
      <items count="4">
        <item x="1"/>
        <item x="0"/>
        <item x="2"/>
        <item t="default"/>
      </items>
    </pivotField>
    <pivotField showAll="0"/>
    <pivotField showAll="0"/>
    <pivotField showAll="0"/>
    <pivotField axis="axisRow" showAll="0">
      <items count="12">
        <item x="6"/>
        <item x="4"/>
        <item x="5"/>
        <item x="7"/>
        <item x="3"/>
        <item x="1"/>
        <item x="0"/>
        <item x="2"/>
        <item x="8"/>
        <item x="9"/>
        <item x="10"/>
        <item t="default"/>
      </items>
    </pivotField>
    <pivotField showAll="0">
      <items count="12">
        <item h="1" x="6"/>
        <item h="1" x="4"/>
        <item h="1" x="5"/>
        <item h="1" x="7"/>
        <item x="3"/>
        <item h="1" x="2"/>
        <item h="1" x="9"/>
        <item h="1" x="8"/>
        <item h="1" x="0"/>
        <item h="1" x="1"/>
        <item h="1" m="1" x="10"/>
        <item t="default"/>
      </items>
    </pivotField>
    <pivotField showAll="0">
      <items count="26">
        <item h="1" x="13"/>
        <item h="1" x="12"/>
        <item h="1" x="21"/>
        <item h="1" x="4"/>
        <item h="1" x="6"/>
        <item h="1" x="16"/>
        <item h="1" x="5"/>
        <item h="1" x="23"/>
        <item h="1" x="2"/>
        <item h="1" x="7"/>
        <item h="1" x="9"/>
        <item x="3"/>
        <item h="1" x="1"/>
        <item h="1" x="24"/>
        <item h="1" x="0"/>
        <item h="1" x="17"/>
        <item h="1" x="11"/>
        <item h="1" x="10"/>
        <item h="1" x="19"/>
        <item h="1" x="15"/>
        <item h="1" x="20"/>
        <item h="1" x="18"/>
        <item h="1" x="22"/>
        <item h="1" x="14"/>
        <item h="1" x="8"/>
        <item t="default"/>
      </items>
    </pivotField>
    <pivotField axis="axisRow" showAll="0">
      <items count="50">
        <item x="18"/>
        <item x="17"/>
        <item x="4"/>
        <item x="26"/>
        <item x="6"/>
        <item x="24"/>
        <item x="2"/>
        <item x="8"/>
        <item x="19"/>
        <item x="11"/>
        <item x="3"/>
        <item x="31"/>
        <item x="1"/>
        <item x="25"/>
        <item x="14"/>
        <item x="0"/>
        <item x="27"/>
        <item x="16"/>
        <item x="12"/>
        <item x="29"/>
        <item x="34"/>
        <item x="32"/>
        <item x="28"/>
        <item x="20"/>
        <item x="33"/>
        <item x="23"/>
        <item x="35"/>
        <item x="13"/>
        <item x="10"/>
        <item x="9"/>
        <item x="5"/>
        <item x="7"/>
        <item x="21"/>
        <item x="22"/>
        <item x="37"/>
        <item x="15"/>
        <item x="30"/>
        <item x="48"/>
        <item x="36"/>
        <item x="38"/>
        <item x="39"/>
        <item x="40"/>
        <item x="41"/>
        <item x="42"/>
        <item x="43"/>
        <item x="44"/>
        <item x="45"/>
        <item x="46"/>
        <item x="47"/>
        <item t="default"/>
      </items>
    </pivotField>
    <pivotField axis="axisRow" showAll="0">
      <items count="11">
        <item x="4"/>
        <item x="6"/>
        <item x="0"/>
        <item x="1"/>
        <item x="5"/>
        <item x="3"/>
        <item x="2"/>
        <item x="7"/>
        <item x="9"/>
        <item x="8"/>
        <item t="default"/>
      </items>
    </pivotField>
    <pivotField showAll="0"/>
    <pivotField dataField="1" numFmtId="165" showAll="0"/>
    <pivotField dataField="1" numFmtId="165" showAll="0"/>
    <pivotField numFmtId="165" showAll="0"/>
    <pivotField numFmtId="165" showAll="0"/>
    <pivotField numFmtId="165" showAll="0"/>
    <pivotField showAll="0"/>
    <pivotField numFmtId="164" showAll="0"/>
    <pivotField showAll="0"/>
    <pivotField showAll="0"/>
    <pivotField showAll="0"/>
    <pivotField showAll="0"/>
    <pivotField numFmtId="164" showAll="0"/>
    <pivotField showAll="0"/>
  </pivotFields>
  <rowFields count="3">
    <field x="4"/>
    <field x="8"/>
    <field x="7"/>
  </rowFields>
  <rowItems count="8">
    <i>
      <x v="4"/>
    </i>
    <i r="1">
      <x v="3"/>
    </i>
    <i r="2">
      <x v="11"/>
    </i>
    <i r="1">
      <x v="5"/>
    </i>
    <i r="2">
      <x v="10"/>
    </i>
    <i r="1">
      <x v="8"/>
    </i>
    <i r="2">
      <x v="37"/>
    </i>
    <i t="grand">
      <x/>
    </i>
  </rowItems>
  <colFields count="1">
    <field x="-2"/>
  </colFields>
  <colItems count="2">
    <i>
      <x/>
    </i>
    <i i="1">
      <x v="1"/>
    </i>
  </colItems>
  <dataFields count="2">
    <dataField name="Estimated Budget" fld="10" baseField="5" baseItem="1" numFmtId="3"/>
    <dataField name="Approved_Budget" fld="11" baseField="5" baseItem="1" numFmtId="3"/>
  </dataField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C6F0B60-F051-4B0E-AFB0-F9ACA4AAEBE8}"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E14" firstHeaderRow="0" firstDataRow="1" firstDataCol="1"/>
  <pivotFields count="23">
    <pivotField showAll="0"/>
    <pivotField dataField="1" showAll="0"/>
    <pivotField showAll="0"/>
    <pivotField showAll="0"/>
    <pivotField showAll="0"/>
    <pivotField showAll="0"/>
    <pivotField showAll="0"/>
    <pivotField showAll="0"/>
    <pivotField axis="axisRow" showAll="0">
      <items count="11">
        <item x="4"/>
        <item x="6"/>
        <item x="0"/>
        <item x="1"/>
        <item x="5"/>
        <item x="3"/>
        <item x="2"/>
        <item x="7"/>
        <item x="9"/>
        <item x="8"/>
        <item t="default"/>
      </items>
    </pivotField>
    <pivotField showAll="0"/>
    <pivotField numFmtId="165" showAll="0"/>
    <pivotField numFmtId="165" showAll="0"/>
    <pivotField numFmtId="165" showAll="0"/>
    <pivotField numFmtId="165" showAll="0"/>
    <pivotField dataField="1" numFmtId="165" showAll="0"/>
    <pivotField showAll="0"/>
    <pivotField dataField="1" numFmtId="164" showAll="0"/>
    <pivotField dataField="1" showAll="0"/>
    <pivotField showAll="0"/>
    <pivotField showAll="0"/>
    <pivotField showAll="0"/>
    <pivotField numFmtId="164" showAll="0"/>
    <pivotField showAll="0"/>
  </pivotFields>
  <rowFields count="1">
    <field x="8"/>
  </rowFields>
  <rowItems count="11">
    <i>
      <x/>
    </i>
    <i>
      <x v="1"/>
    </i>
    <i>
      <x v="2"/>
    </i>
    <i>
      <x v="3"/>
    </i>
    <i>
      <x v="4"/>
    </i>
    <i>
      <x v="5"/>
    </i>
    <i>
      <x v="6"/>
    </i>
    <i>
      <x v="7"/>
    </i>
    <i>
      <x v="8"/>
    </i>
    <i>
      <x v="9"/>
    </i>
    <i t="grand">
      <x/>
    </i>
  </rowItems>
  <colFields count="1">
    <field x="-2"/>
  </colFields>
  <colItems count="4">
    <i>
      <x/>
    </i>
    <i i="1">
      <x v="1"/>
    </i>
    <i i="2">
      <x v="2"/>
    </i>
    <i i="3">
      <x v="3"/>
    </i>
  </colItems>
  <dataFields count="4">
    <dataField name="Actual Costs" fld="14" baseField="8" baseItem="0" numFmtId="3"/>
    <dataField name="FY23 FRP Cash" fld="16" baseField="8" baseItem="0" numFmtId="3"/>
    <dataField name="FY24 FRP Cash" fld="17" baseField="8" baseItem="0" numFmtId="3"/>
    <dataField name="Count of eBuilder" fld="1" subtotal="count" baseField="0" baseItem="0"/>
  </dataField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1349783290">
      <items count="3">
        <i x="1" s="1"/>
        <i x="0" s="1"/>
        <i x="2"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1349783290">
      <items count="25">
        <i x="3" s="1"/>
        <i x="13" nd="1"/>
        <i x="12" nd="1"/>
        <i x="21" nd="1"/>
        <i x="4" nd="1"/>
        <i x="6" nd="1"/>
        <i x="16" nd="1"/>
        <i x="5" nd="1"/>
        <i x="23" nd="1"/>
        <i x="2" nd="1"/>
        <i x="7" nd="1"/>
        <i x="9" nd="1"/>
        <i x="1" nd="1"/>
        <i x="24" nd="1"/>
        <i x="0" nd="1"/>
        <i x="17" nd="1"/>
        <i x="11" nd="1"/>
        <i x="10" nd="1"/>
        <i x="19" nd="1"/>
        <i x="15" nd="1"/>
        <i x="20" nd="1"/>
        <i x="18" nd="1"/>
        <i x="22" nd="1"/>
        <i x="14" nd="1"/>
        <i x="8"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1349783290">
      <items count="11">
        <i x="3" s="1"/>
        <i x="6" nd="1"/>
        <i x="4" nd="1"/>
        <i x="5" nd="1"/>
        <i x="7" nd="1"/>
        <i x="2" nd="1"/>
        <i x="9" nd="1"/>
        <i x="8" nd="1"/>
        <i x="0" nd="1"/>
        <i x="1" nd="1"/>
        <i x="10"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ase" xr10:uid="{C31A7630-D522-484B-BEFA-BE433320AE37}" sourceName="Phase">
  <pivotTables>
    <pivotTable tabId="9" name="PivotTable1"/>
  </pivotTables>
  <data>
    <tabular pivotCacheId="1349783290">
      <items count="10">
        <i x="1" s="1"/>
        <i x="9" s="1"/>
        <i x="3" s="1"/>
        <i x="2" s="1" nd="1"/>
        <i x="7" s="1" nd="1"/>
        <i x="4" s="1" nd="1"/>
        <i x="6" s="1" nd="1"/>
        <i x="0" s="1" nd="1"/>
        <i x="5" s="1" nd="1"/>
        <i x="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 name="Phase" xr10:uid="{EC62A4FE-AAD3-4BF1-82CF-B4D46BF1A7BD}" cache="Slicer_Phase" caption="Phase" style="SlicerStyleLight2"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5-17T18:14:40.74" personId="{25485ED3-42D9-422C-9A77-5F76F434CCD0}" id="{B94B61BE-9E95-456D-83ED-BA5ED89F596A}">
    <text>Includes roof repairs in scope.</text>
  </threadedComment>
  <threadedComment ref="L10" dT="2023-02-09T15:08:20.39" personId="{25485ED3-42D9-422C-9A77-5F76F434CCD0}" id="{DBD976BE-1EA5-4F82-B578-BB477409D36E}">
    <text>Includes both A&amp;S swing space and FRP scope.</text>
  </threadedComment>
  <threadedComment ref="W11" dT="2023-10-18T18:20:46.13" personId="{25485ED3-42D9-422C-9A77-5F76F434CCD0}" id="{AA2AAB68-C334-402F-BFE2-A7D00ACCE4BE}">
    <text>Project will be joint funded, FPR / Divinity + Dean of Students.</text>
  </threadedComment>
  <threadedComment ref="W19" dT="2024-02-01T20:47:48.13" personId="{25485ED3-42D9-422C-9A77-5F76F434CCD0}" id="{2F536141-AE0B-480B-9256-AC86F43D41D9}">
    <text>Phase 2 estimate. May be a separate project ID.</text>
  </threadedComment>
  <threadedComment ref="L28" dT="2023-02-09T15:08:20.39" personId="{25485ED3-42D9-422C-9A77-5F76F434CCD0}" id="{CD0EAA3A-8612-41AC-AEA9-2402CC95F0F9}">
    <text xml:space="preserve">Includes both A&amp;S third floor renovation FRP (VAV boxes) scope. </text>
  </threadedComment>
  <threadedComment ref="I36" dT="2023-08-23T18:07:53.49" personId="{25485ED3-42D9-422C-9A77-5F76F434CCD0}" id="{E105EA63-7C78-41C4-8D8F-2A5203F081DB}">
    <text>Feasibility study to occur FY24 as opex cost. Unsure timing of eventual construction.</text>
  </threadedComment>
  <threadedComment ref="I37" dT="2023-08-23T18:07:53.49" personId="{25485ED3-42D9-422C-9A77-5F76F434CCD0}" id="{E5436728-87D0-492B-83F9-14F3FA74D779}">
    <text>Feasibility study to occur FY24 as opex cost. Unsure timing of eventual construction.</text>
  </threadedComment>
  <threadedComment ref="I38" dT="2023-08-23T18:07:59.09" personId="{25485ED3-42D9-422C-9A77-5F76F434CCD0}" id="{2718DB0D-6394-4B31-BD4D-B1D4C2924D70}">
    <text>Feasibility study to occur FY24 as opex cost. Unsure timing of eventual construction.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E38" dT="2023-11-15T19:09:35.82" personId="{25485ED3-42D9-422C-9A77-5F76F434CCD0}" id="{85245034-B175-4331-A4C4-D9D0079EF84F}">
    <text>Preliminary cost estimates presented in three options. $4M - $5M range.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microsoft.com/office/2007/relationships/slicer" Target="../slicers/slicer1.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9932-010C-4D3C-8086-FBA276DBF10D}">
  <dimension ref="B2:I15"/>
  <sheetViews>
    <sheetView showGridLines="0" zoomScale="130" zoomScaleNormal="130" workbookViewId="0"/>
  </sheetViews>
  <sheetFormatPr defaultRowHeight="14.6" x14ac:dyDescent="0.4"/>
  <cols>
    <col min="1" max="1" width="4.84375" customWidth="1"/>
  </cols>
  <sheetData>
    <row r="2" spans="2:9" x14ac:dyDescent="0.4">
      <c r="I2" s="171"/>
    </row>
    <row r="4" spans="2:9" ht="20.6" x14ac:dyDescent="0.55000000000000004">
      <c r="B4" s="188" t="s">
        <v>296</v>
      </c>
    </row>
    <row r="6" spans="2:9" x14ac:dyDescent="0.4">
      <c r="B6" s="22" t="s">
        <v>297</v>
      </c>
    </row>
    <row r="7" spans="2:9" x14ac:dyDescent="0.4">
      <c r="B7" s="22" t="s">
        <v>302</v>
      </c>
    </row>
    <row r="8" spans="2:9" x14ac:dyDescent="0.4">
      <c r="I8" s="171"/>
    </row>
    <row r="10" spans="2:9" x14ac:dyDescent="0.4">
      <c r="B10" s="22" t="s">
        <v>305</v>
      </c>
    </row>
    <row r="11" spans="2:9" x14ac:dyDescent="0.4">
      <c r="B11" s="22" t="s">
        <v>298</v>
      </c>
    </row>
    <row r="12" spans="2:9" x14ac:dyDescent="0.4">
      <c r="B12" s="22" t="s">
        <v>303</v>
      </c>
    </row>
    <row r="13" spans="2:9" x14ac:dyDescent="0.4">
      <c r="B13" s="22" t="s">
        <v>304</v>
      </c>
    </row>
    <row r="14" spans="2:9" x14ac:dyDescent="0.4">
      <c r="B14" s="22" t="s">
        <v>306</v>
      </c>
    </row>
    <row r="15" spans="2:9" x14ac:dyDescent="0.4">
      <c r="B15" s="22" t="s">
        <v>307</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53515625" bestFit="1" customWidth="1"/>
    <col min="5" max="5" width="58.69140625" bestFit="1" customWidth="1"/>
    <col min="6" max="6" width="17.53515625" bestFit="1" customWidth="1"/>
    <col min="7" max="7" width="12.3046875" bestFit="1" customWidth="1"/>
    <col min="8" max="9" width="16.53515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10085</v>
      </c>
      <c r="B4" s="11">
        <f>VLOOKUP(A4,'Project Status'!C:D,2,FALSE)</f>
        <v>4591</v>
      </c>
      <c r="C4" s="11">
        <f>VLOOKUP(A4,'Project Status'!C:E,3,FALSE)</f>
        <v>0</v>
      </c>
      <c r="D4" s="11" t="str">
        <f>VLOOKUP(A4,'Project Status'!C:F,4,FALSE)</f>
        <v>21000 - Peabody College: Office of the Dean</v>
      </c>
      <c r="E4" s="11" t="str">
        <f>VLOOKUP(A4,'Project Status'!C:I,7,FALSE)</f>
        <v>One Magnolia Circle - Modify/Upgrade Electrical and Grounding</v>
      </c>
      <c r="F4" s="11" t="str">
        <f>VLOOKUP(A4,'Project Status'!C:J,8,FALSE)</f>
        <v>Finalized</v>
      </c>
      <c r="G4" s="11" t="str">
        <f>VLOOKUP(A4,'Project Status'!C:K,9,FALSE)</f>
        <v>Sean Rewers</v>
      </c>
      <c r="H4" s="99">
        <f>VLOOKUP(A4,'Project Status'!C:M,11,FALSE)</f>
        <v>22000</v>
      </c>
      <c r="I4" s="202">
        <f>VLOOKUP(B4,'Project Status'!D:N,11,FALSE)</f>
        <v>17500</v>
      </c>
    </row>
    <row r="8" spans="1:11" x14ac:dyDescent="0.4">
      <c r="E8" s="42" t="s">
        <v>124</v>
      </c>
    </row>
    <row r="9" spans="1:11" x14ac:dyDescent="0.4">
      <c r="E9" s="22" t="s">
        <v>215</v>
      </c>
      <c r="F9" s="34" t="s">
        <v>146</v>
      </c>
      <c r="H9" s="43">
        <v>22000</v>
      </c>
      <c r="I9" s="43"/>
    </row>
    <row r="10" spans="1:11" x14ac:dyDescent="0.4">
      <c r="E10" s="22" t="s">
        <v>309</v>
      </c>
      <c r="F10" t="s">
        <v>310</v>
      </c>
      <c r="H10" s="44">
        <v>-4500</v>
      </c>
      <c r="I10" s="44"/>
    </row>
    <row r="18" spans="5:8" x14ac:dyDescent="0.4">
      <c r="E18" s="161" t="s">
        <v>271</v>
      </c>
      <c r="F18" s="162"/>
      <c r="G18" s="161"/>
      <c r="H18" s="163">
        <f>SUM(H9:H17)</f>
        <v>17500</v>
      </c>
    </row>
    <row r="20" spans="5:8" x14ac:dyDescent="0.4">
      <c r="E20" s="164" t="s">
        <v>136</v>
      </c>
      <c r="F20" s="164"/>
      <c r="G20" s="164"/>
      <c r="H20" s="165">
        <f>I4-H18</f>
        <v>0</v>
      </c>
    </row>
  </sheetData>
  <hyperlinks>
    <hyperlink ref="K1" location="'Project Status'!A1" display="'Project Status'!A1" xr:uid="{33687509-4DFC-46F4-91EA-B013FA4D8936}"/>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41.69140625" bestFit="1" customWidth="1"/>
    <col min="6" max="6" width="31.3046875" bestFit="1" customWidth="1"/>
    <col min="7" max="7" width="11" bestFit="1" customWidth="1"/>
    <col min="8" max="8" width="16.53515625" bestFit="1" customWidth="1"/>
    <col min="9" max="9" width="1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10098</v>
      </c>
      <c r="B4" s="11">
        <f>VLOOKUP(A4,'Project Status'!C:D,2,FALSE)</f>
        <v>1627</v>
      </c>
      <c r="C4" s="11" t="str">
        <f>VLOOKUP(A4,'Project Status'!C:E,3,FALSE)</f>
        <v>CP_400023</v>
      </c>
      <c r="D4" s="11" t="str">
        <f>VLOOKUP(A4,'Project Status'!C:F,4,FALSE)</f>
        <v>18200 - Basic Sciences: Office of the Dean</v>
      </c>
      <c r="E4" s="11" t="str">
        <f>VLOOKUP(A4,'Project Status'!C:I,7,FALSE)</f>
        <v>MRB III - 4th Floor - Replace Controls (Phase 2)</v>
      </c>
      <c r="F4" s="11" t="str">
        <f>VLOOKUP(A4,'Project Status'!C:J,8,FALSE)</f>
        <v>Financial Closeout</v>
      </c>
      <c r="G4" s="11" t="str">
        <f>VLOOKUP(A4,'Project Status'!C:K,9,FALSE)</f>
        <v>Hans Mooy</v>
      </c>
      <c r="H4" s="41">
        <f>VLOOKUP(A4,'Project Status'!C:M,11,FALSE)</f>
        <v>1216485.5</v>
      </c>
      <c r="I4" s="202">
        <f>VLOOKUP(B4,'Project Status'!D:N,11,FALSE)</f>
        <v>1212084.54</v>
      </c>
    </row>
    <row r="8" spans="1:11" x14ac:dyDescent="0.4">
      <c r="E8" s="42" t="s">
        <v>124</v>
      </c>
    </row>
    <row r="9" spans="1:11" x14ac:dyDescent="0.4">
      <c r="E9" s="22" t="s">
        <v>134</v>
      </c>
      <c r="F9" s="34">
        <v>44769</v>
      </c>
      <c r="H9" s="43">
        <v>1216485.5</v>
      </c>
    </row>
    <row r="10" spans="1:11" x14ac:dyDescent="0.4">
      <c r="E10" s="22" t="s">
        <v>382</v>
      </c>
      <c r="F10" s="247" t="s">
        <v>310</v>
      </c>
      <c r="H10" s="43">
        <v>-4400.96</v>
      </c>
    </row>
    <row r="13" spans="1:11" x14ac:dyDescent="0.4">
      <c r="F13" s="10"/>
      <c r="G13" s="10"/>
      <c r="H13" s="46"/>
    </row>
    <row r="18" spans="5:8" x14ac:dyDescent="0.4">
      <c r="E18" s="161" t="s">
        <v>271</v>
      </c>
      <c r="F18" s="162"/>
      <c r="G18" s="161"/>
      <c r="H18" s="163">
        <f>SUM(H9:H17)</f>
        <v>1212084.54</v>
      </c>
    </row>
    <row r="20" spans="5:8" x14ac:dyDescent="0.4">
      <c r="E20" s="164" t="s">
        <v>136</v>
      </c>
      <c r="F20" s="164"/>
      <c r="G20" s="164"/>
      <c r="H20" s="165">
        <f>I4-H18</f>
        <v>0</v>
      </c>
    </row>
  </sheetData>
  <hyperlinks>
    <hyperlink ref="K1" location="'Project Status'!A1" display="'Project Status'!A1" xr:uid="{3F842A42-250F-4C9F-9E17-1DC6C976A04F}"/>
  </hyperlinks>
  <pageMargins left="0.7" right="0.7" top="0.75" bottom="0.75" header="0.3" footer="0.3"/>
  <pageSetup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0.69140625" bestFit="1" customWidth="1"/>
    <col min="5" max="5" width="30.3046875" bestFit="1" customWidth="1"/>
    <col min="6" max="6" width="7" bestFit="1" customWidth="1"/>
    <col min="7" max="7" width="12.3046875" bestFit="1" customWidth="1"/>
    <col min="8" max="8" width="16.53515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10146</v>
      </c>
      <c r="B4" s="11">
        <f>VLOOKUP(A4,'Project Status'!C:D,2,FALSE)</f>
        <v>4418</v>
      </c>
      <c r="C4" s="11" t="str">
        <f>VLOOKUP(A4,'Project Status'!C:E,3,FALSE)</f>
        <v>CP_400025</v>
      </c>
      <c r="D4" s="11" t="str">
        <f>VLOOKUP(A4,'Project Status'!C:F,4,FALSE)</f>
        <v>19100 - Nursing: Business Affairs</v>
      </c>
      <c r="E4" s="11" t="str">
        <f>VLOOKUP(A4,'Project Status'!C:I,7,FALSE)</f>
        <v>Godchaux Hall - HVAC Upgrade</v>
      </c>
      <c r="F4" s="11" t="str">
        <f>VLOOKUP(A4,'Project Status'!C:J,8,FALSE)</f>
        <v>Award</v>
      </c>
      <c r="G4" s="11" t="str">
        <f>VLOOKUP(A4,'Project Status'!C:K,9,FALSE)</f>
        <v>Sean Rewers</v>
      </c>
      <c r="H4" s="99">
        <f>VLOOKUP(A4,'Project Status'!C:M,11,FALSE)</f>
        <v>318057</v>
      </c>
    </row>
    <row r="8" spans="1:11" x14ac:dyDescent="0.4">
      <c r="E8" s="42" t="s">
        <v>124</v>
      </c>
    </row>
    <row r="9" spans="1:11" x14ac:dyDescent="0.4">
      <c r="E9" s="22" t="s">
        <v>215</v>
      </c>
      <c r="F9" s="34" t="s">
        <v>146</v>
      </c>
      <c r="H9" s="43">
        <v>4900</v>
      </c>
    </row>
    <row r="10" spans="1:11" x14ac:dyDescent="0.4">
      <c r="E10" s="33" t="s">
        <v>219</v>
      </c>
      <c r="F10" s="20"/>
      <c r="G10" s="20"/>
      <c r="H10" s="80">
        <v>57200</v>
      </c>
    </row>
    <row r="11" spans="1:11" x14ac:dyDescent="0.4">
      <c r="H11" s="45">
        <f>SUM(H9:H10)</f>
        <v>62100</v>
      </c>
    </row>
    <row r="12" spans="1:11" x14ac:dyDescent="0.4">
      <c r="H12" s="46"/>
    </row>
    <row r="13" spans="1:11" x14ac:dyDescent="0.4">
      <c r="E13" s="22" t="s">
        <v>340</v>
      </c>
      <c r="F13" s="34" t="s">
        <v>339</v>
      </c>
      <c r="G13" s="10"/>
      <c r="H13" s="44">
        <v>11500</v>
      </c>
    </row>
    <row r="14" spans="1:11" x14ac:dyDescent="0.4">
      <c r="E14" s="22" t="s">
        <v>382</v>
      </c>
      <c r="F14" t="s">
        <v>174</v>
      </c>
      <c r="H14" s="44">
        <v>244457</v>
      </c>
    </row>
    <row r="15" spans="1:11" x14ac:dyDescent="0.4">
      <c r="E15" s="161" t="s">
        <v>398</v>
      </c>
      <c r="F15" s="162"/>
      <c r="G15" s="161"/>
      <c r="H15" s="163">
        <f>SUM(H13:H14)</f>
        <v>255957</v>
      </c>
    </row>
    <row r="20" spans="5:8" x14ac:dyDescent="0.4">
      <c r="E20" s="164" t="s">
        <v>136</v>
      </c>
      <c r="F20" s="164"/>
      <c r="G20" s="164"/>
      <c r="H20" s="165">
        <f>H4-H11-H15</f>
        <v>0</v>
      </c>
    </row>
  </sheetData>
  <hyperlinks>
    <hyperlink ref="K1" location="'Project Status'!A1" display="'Project Status'!A1" xr:uid="{A956AABB-927C-4E8E-BB0A-A11D0E8D382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1" tint="0.499984740745262"/>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7.15234375" bestFit="1" customWidth="1"/>
    <col min="5" max="5" width="41.3828125" bestFit="1" customWidth="1"/>
    <col min="6" max="6" width="32.3828125" bestFit="1" customWidth="1"/>
    <col min="7" max="7" width="13.84375" bestFit="1" customWidth="1"/>
    <col min="8" max="8" width="16.53515625" bestFit="1" customWidth="1"/>
    <col min="9" max="9" width="1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20179</v>
      </c>
      <c r="B4" s="11">
        <f>VLOOKUP(A4,'Project Status'!C:D,2,FALSE)</f>
        <v>36015</v>
      </c>
      <c r="C4" s="11" t="str">
        <f>VLOOKUP(A4,'Project Status'!C:E,3,FALSE)</f>
        <v>CP_400024</v>
      </c>
      <c r="D4" s="11" t="str">
        <f>VLOOKUP(A4,'Project Status'!C:F,4,FALSE)</f>
        <v>17100 - Law: Business Affairs</v>
      </c>
      <c r="E4" s="11" t="str">
        <f>VLOOKUP(A4,'Project Status'!C:I,7,FALSE)</f>
        <v>Law School - Fire Alarm System Replacement</v>
      </c>
      <c r="F4" s="11" t="str">
        <f>VLOOKUP(A4,'Project Status'!C:J,8,FALSE)</f>
        <v>Warranty or Construction Closeout</v>
      </c>
      <c r="G4" s="11" t="str">
        <f>VLOOKUP(A4,'Project Status'!C:K,9,FALSE)</f>
        <v>Bob Grummon</v>
      </c>
      <c r="H4" s="41">
        <f>VLOOKUP(A4,'Project Status'!C:M,11,FALSE)</f>
        <v>1445389</v>
      </c>
      <c r="I4" s="202">
        <f>VLOOKUP(B4,'Project Status'!D:N,11,FALSE)</f>
        <v>1352423.14</v>
      </c>
    </row>
    <row r="8" spans="1:11" x14ac:dyDescent="0.4">
      <c r="E8" s="42" t="s">
        <v>124</v>
      </c>
    </row>
    <row r="9" spans="1:11" x14ac:dyDescent="0.4">
      <c r="E9" s="22" t="s">
        <v>134</v>
      </c>
      <c r="F9" s="34">
        <v>44769</v>
      </c>
      <c r="H9" s="43">
        <v>722694.5</v>
      </c>
    </row>
    <row r="10" spans="1:11" x14ac:dyDescent="0.4">
      <c r="E10" s="33" t="s">
        <v>135</v>
      </c>
      <c r="F10" s="20"/>
      <c r="G10" s="20"/>
      <c r="H10" s="80">
        <f>H4*0.5</f>
        <v>722694.5</v>
      </c>
    </row>
    <row r="11" spans="1:11" x14ac:dyDescent="0.4">
      <c r="H11" s="45">
        <f>SUM(H9:H10)</f>
        <v>1445389</v>
      </c>
    </row>
    <row r="13" spans="1:11" x14ac:dyDescent="0.4">
      <c r="G13" s="10"/>
      <c r="H13" s="46"/>
    </row>
    <row r="18" spans="5:8" x14ac:dyDescent="0.4">
      <c r="E18" s="161" t="s">
        <v>271</v>
      </c>
      <c r="F18" s="162"/>
      <c r="G18" s="161"/>
      <c r="H18" s="163">
        <f>H9</f>
        <v>722694.5</v>
      </c>
    </row>
    <row r="20" spans="5:8" x14ac:dyDescent="0.4">
      <c r="E20" s="164" t="s">
        <v>136</v>
      </c>
      <c r="F20" s="164"/>
      <c r="G20" s="164"/>
      <c r="H20" s="165">
        <f>H4-H11</f>
        <v>0</v>
      </c>
    </row>
  </sheetData>
  <hyperlinks>
    <hyperlink ref="K1" location="'Project Status'!A1" display="'Project Status'!A1" xr:uid="{FF747D79-FA74-4041-9077-E03AA4DE35BB}"/>
  </hyperlinks>
  <pageMargins left="0.7" right="0.7" top="0.75" bottom="0.75" header="0.3" footer="0.3"/>
  <pageSetup scale="9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1" tint="0.499984740745262"/>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9.69140625" bestFit="1" customWidth="1"/>
    <col min="5" max="5" width="45.53515625" bestFit="1" customWidth="1"/>
    <col min="6" max="6" width="32.3828125" bestFit="1" customWidth="1"/>
    <col min="7" max="7" width="11.3046875" bestFit="1" customWidth="1"/>
    <col min="8" max="8" width="16.53515625" bestFit="1" customWidth="1"/>
    <col min="9" max="9" width="13.304687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20336</v>
      </c>
      <c r="B4" s="11">
        <f>VLOOKUP(A4,'Project Status'!C:D,2,FALSE)</f>
        <v>20075</v>
      </c>
      <c r="C4" s="11" t="str">
        <f>VLOOKUP(A4,'Project Status'!C:E,3,FALSE)</f>
        <v>CP_400056</v>
      </c>
      <c r="D4" s="11" t="str">
        <f>VLOOKUP(A4,'Project Status'!C:F,4,FALSE)</f>
        <v>13000 - Blair: Office of the Dean</v>
      </c>
      <c r="E4" s="11" t="str">
        <f>VLOOKUP(A4,'Project Status'!C:I,7,FALSE)</f>
        <v>Blair School of Music - Elevator #3 Modernization</v>
      </c>
      <c r="F4" s="11" t="str">
        <f>VLOOKUP(A4,'Project Status'!C:J,8,FALSE)</f>
        <v>Financial Closeout</v>
      </c>
      <c r="G4" s="11" t="str">
        <f>VLOOKUP(A4,'Project Status'!C:K,9,FALSE)</f>
        <v>Ben Bedock</v>
      </c>
      <c r="H4" s="41">
        <f>VLOOKUP(A4,'Project Status'!C:M,11,FALSE)</f>
        <v>327890</v>
      </c>
      <c r="I4" s="202">
        <f>VLOOKUP(B4,'Project Status'!D:N,11,FALSE)</f>
        <v>280600</v>
      </c>
    </row>
    <row r="8" spans="1:11" x14ac:dyDescent="0.4">
      <c r="E8" s="42" t="s">
        <v>124</v>
      </c>
    </row>
    <row r="9" spans="1:11" x14ac:dyDescent="0.4">
      <c r="E9" s="22" t="s">
        <v>166</v>
      </c>
      <c r="F9" s="34" t="s">
        <v>139</v>
      </c>
      <c r="H9" s="43">
        <v>12900</v>
      </c>
    </row>
    <row r="10" spans="1:11" x14ac:dyDescent="0.4">
      <c r="E10" s="22" t="s">
        <v>166</v>
      </c>
      <c r="F10" t="s">
        <v>146</v>
      </c>
      <c r="H10" s="44">
        <v>2200</v>
      </c>
    </row>
    <row r="11" spans="1:11" x14ac:dyDescent="0.4">
      <c r="E11" s="22" t="s">
        <v>215</v>
      </c>
      <c r="F11" t="s">
        <v>174</v>
      </c>
      <c r="H11" s="44">
        <v>312790</v>
      </c>
    </row>
    <row r="18" spans="5:8" x14ac:dyDescent="0.4">
      <c r="E18" s="161" t="s">
        <v>271</v>
      </c>
      <c r="F18" s="162"/>
      <c r="G18" s="161"/>
      <c r="H18" s="163">
        <f>SUM(H9:H17)</f>
        <v>327890</v>
      </c>
    </row>
    <row r="20" spans="5:8" x14ac:dyDescent="0.4">
      <c r="E20" s="164" t="s">
        <v>136</v>
      </c>
      <c r="F20" s="164"/>
      <c r="G20" s="164"/>
      <c r="H20" s="165">
        <f>H4-H18</f>
        <v>0</v>
      </c>
    </row>
  </sheetData>
  <hyperlinks>
    <hyperlink ref="K1" location="'Project Status'!A1" display="'Project Status'!A1" xr:uid="{2DD23A45-EA4E-4CC3-99A3-228E548F4DA6}"/>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theme="4"/>
  </sheetPr>
  <dimension ref="A1:L22"/>
  <sheetViews>
    <sheetView zoomScale="90" zoomScaleNormal="90" workbookViewId="0">
      <selection activeCell="H22" sqref="H22"/>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1.3046875" bestFit="1" customWidth="1"/>
    <col min="6" max="6" width="12.3828125" bestFit="1" customWidth="1"/>
    <col min="7" max="7" width="11" bestFit="1" customWidth="1"/>
    <col min="8" max="8" width="16.53515625" bestFit="1" customWidth="1"/>
    <col min="10" max="12" width="12.15234375" bestFit="1" customWidth="1"/>
  </cols>
  <sheetData>
    <row r="1" spans="1:12" x14ac:dyDescent="0.4">
      <c r="K1" s="166" t="s">
        <v>276</v>
      </c>
    </row>
    <row r="3" spans="1:12" x14ac:dyDescent="0.4">
      <c r="A3" s="38" t="s">
        <v>125</v>
      </c>
      <c r="B3" s="37" t="s">
        <v>126</v>
      </c>
      <c r="C3" s="38" t="s">
        <v>127</v>
      </c>
      <c r="D3" s="39" t="s">
        <v>86</v>
      </c>
      <c r="E3" s="39" t="s">
        <v>87</v>
      </c>
      <c r="F3" s="38" t="s">
        <v>128</v>
      </c>
      <c r="G3" s="38" t="s">
        <v>129</v>
      </c>
      <c r="H3" s="40" t="s">
        <v>130</v>
      </c>
    </row>
    <row r="4" spans="1:12" x14ac:dyDescent="0.4">
      <c r="A4" s="11">
        <v>20431</v>
      </c>
      <c r="B4" s="11">
        <f>VLOOKUP(A4,'Project Status'!C:D,2,FALSE)</f>
        <v>8084</v>
      </c>
      <c r="C4" s="11" t="str">
        <f>VLOOKUP(A4,'Project Status'!C:E,3,FALSE)</f>
        <v>CP_400108</v>
      </c>
      <c r="D4" s="11" t="str">
        <f>VLOOKUP(A4,'Project Status'!C:F,4,FALSE)</f>
        <v>14000 - Divinity: Office of the Dean</v>
      </c>
      <c r="E4" s="11" t="str">
        <f>VLOOKUP(A4,'Project Status'!C:I,7,FALSE)</f>
        <v>Divinity Air Handling Unit Replacement, (5/6)- Phase 1</v>
      </c>
      <c r="F4" s="11" t="str">
        <f>VLOOKUP(A4,'Project Status'!C:J,8,FALSE)</f>
        <v>Construction</v>
      </c>
      <c r="G4" s="11" t="str">
        <f>VLOOKUP(A4,'Project Status'!C:K,9,FALSE)</f>
        <v>Hans Mooy</v>
      </c>
      <c r="H4" s="41">
        <f>VLOOKUP(A4,'Project Status'!C:M,11,FALSE)</f>
        <v>3800000</v>
      </c>
    </row>
    <row r="5" spans="1:12" x14ac:dyDescent="0.4">
      <c r="H5" s="43"/>
    </row>
    <row r="6" spans="1:12" x14ac:dyDescent="0.4">
      <c r="H6" s="43"/>
      <c r="J6" s="78">
        <v>0.75</v>
      </c>
      <c r="K6" s="78">
        <v>0.25</v>
      </c>
    </row>
    <row r="7" spans="1:12" ht="15" thickBot="1" x14ac:dyDescent="0.45">
      <c r="H7" s="43"/>
      <c r="J7" s="79" t="s">
        <v>179</v>
      </c>
      <c r="K7" s="79" t="s">
        <v>180</v>
      </c>
    </row>
    <row r="8" spans="1:12" x14ac:dyDescent="0.4">
      <c r="E8" s="42" t="s">
        <v>124</v>
      </c>
      <c r="H8" s="43"/>
    </row>
    <row r="9" spans="1:12" x14ac:dyDescent="0.4">
      <c r="E9" s="33" t="s">
        <v>181</v>
      </c>
      <c r="H9" s="75">
        <f>39900+3000+3590</f>
        <v>46490</v>
      </c>
      <c r="J9" s="44"/>
      <c r="K9" s="44"/>
    </row>
    <row r="10" spans="1:12" x14ac:dyDescent="0.4">
      <c r="E10" s="22" t="s">
        <v>175</v>
      </c>
      <c r="F10" t="s">
        <v>174</v>
      </c>
      <c r="H10" s="43">
        <f>J10</f>
        <v>937.5</v>
      </c>
      <c r="I10" s="78"/>
      <c r="J10" s="44">
        <f>L10*J6</f>
        <v>937.5</v>
      </c>
      <c r="K10" s="44">
        <f>L10*K6</f>
        <v>312.5</v>
      </c>
      <c r="L10" s="74">
        <v>1250</v>
      </c>
    </row>
    <row r="11" spans="1:12" x14ac:dyDescent="0.4">
      <c r="E11" s="22" t="s">
        <v>175</v>
      </c>
      <c r="F11" s="34" t="s">
        <v>172</v>
      </c>
      <c r="H11" s="43">
        <f>J11</f>
        <v>61425</v>
      </c>
      <c r="J11" s="44">
        <f>L11*J6</f>
        <v>61425</v>
      </c>
      <c r="K11" s="44">
        <f>L11*K6</f>
        <v>20475</v>
      </c>
      <c r="L11" s="74">
        <v>81900</v>
      </c>
    </row>
    <row r="12" spans="1:12" x14ac:dyDescent="0.4">
      <c r="E12" s="33" t="s">
        <v>182</v>
      </c>
      <c r="F12" s="34"/>
      <c r="H12" s="75">
        <f>K10+K11</f>
        <v>20787.5</v>
      </c>
      <c r="J12" s="44"/>
      <c r="K12" s="44"/>
    </row>
    <row r="13" spans="1:12" x14ac:dyDescent="0.4">
      <c r="E13" s="22" t="s">
        <v>226</v>
      </c>
      <c r="F13" t="s">
        <v>221</v>
      </c>
      <c r="H13" s="111">
        <f>J13</f>
        <v>7500</v>
      </c>
      <c r="J13" s="44">
        <f>L13*J6</f>
        <v>7500</v>
      </c>
      <c r="K13" s="44">
        <f>L13*K6</f>
        <v>2500</v>
      </c>
      <c r="L13" s="74">
        <v>10000</v>
      </c>
    </row>
    <row r="14" spans="1:12" x14ac:dyDescent="0.4">
      <c r="E14" s="33" t="s">
        <v>227</v>
      </c>
      <c r="H14" s="109">
        <f>K13</f>
        <v>2500</v>
      </c>
      <c r="J14" s="44"/>
      <c r="K14" s="44"/>
    </row>
    <row r="15" spans="1:12" x14ac:dyDescent="0.4">
      <c r="E15" s="33" t="s">
        <v>340</v>
      </c>
      <c r="F15" t="s">
        <v>341</v>
      </c>
      <c r="H15" s="109">
        <v>3660360</v>
      </c>
      <c r="J15" s="44"/>
      <c r="K15" s="44"/>
    </row>
    <row r="16" spans="1:12" x14ac:dyDescent="0.4">
      <c r="J16" s="44" t="s">
        <v>342</v>
      </c>
      <c r="K16" s="44"/>
    </row>
    <row r="17" spans="5:8" x14ac:dyDescent="0.4">
      <c r="H17" s="45">
        <f>SUM(H9:H16)</f>
        <v>3800000</v>
      </c>
    </row>
    <row r="19" spans="5:8" x14ac:dyDescent="0.4">
      <c r="F19" s="10"/>
      <c r="G19" s="10"/>
      <c r="H19" s="77"/>
    </row>
    <row r="20" spans="5:8" x14ac:dyDescent="0.4">
      <c r="E20" s="161" t="s">
        <v>271</v>
      </c>
      <c r="F20" s="162"/>
      <c r="G20" s="161"/>
      <c r="H20" s="163">
        <f>H10+H11+H13+H15</f>
        <v>3730222.5</v>
      </c>
    </row>
    <row r="22" spans="5:8" x14ac:dyDescent="0.4">
      <c r="E22" s="164" t="s">
        <v>136</v>
      </c>
      <c r="F22" s="164"/>
      <c r="G22" s="164"/>
      <c r="H22" s="165">
        <f>H4-H17</f>
        <v>0</v>
      </c>
    </row>
  </sheetData>
  <hyperlinks>
    <hyperlink ref="K1" location="'Project Status'!A1" display="'Project Status'!A1" xr:uid="{CDA93EF8-EDAF-40B0-9E35-101AB4694D4A}"/>
  </hyperlinks>
  <pageMargins left="0.7" right="0.7" top="0.75" bottom="0.75" header="0.3" footer="0.3"/>
  <pageSetup paperSize="5" scale="85"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DA62-22D7-44EF-A36D-7DC7A5C83653}">
  <sheetPr>
    <tabColor theme="1" tint="0.499984740745262"/>
  </sheetPr>
  <dimension ref="A1:L23"/>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51.53515625" bestFit="1" customWidth="1"/>
    <col min="6" max="6" width="11.69140625" bestFit="1" customWidth="1"/>
    <col min="7" max="7" width="13.3046875" bestFit="1" customWidth="1"/>
    <col min="8" max="8" width="16.53515625" bestFit="1" customWidth="1"/>
    <col min="9" max="12" width="15" bestFit="1" customWidth="1"/>
  </cols>
  <sheetData>
    <row r="1" spans="1:12" x14ac:dyDescent="0.4">
      <c r="K1" s="166" t="s">
        <v>276</v>
      </c>
    </row>
    <row r="3" spans="1:12" x14ac:dyDescent="0.4">
      <c r="A3" s="38" t="s">
        <v>125</v>
      </c>
      <c r="B3" s="37" t="s">
        <v>126</v>
      </c>
      <c r="C3" s="38" t="s">
        <v>127</v>
      </c>
      <c r="D3" s="39" t="s">
        <v>86</v>
      </c>
      <c r="E3" s="39" t="s">
        <v>87</v>
      </c>
      <c r="F3" s="38" t="s">
        <v>128</v>
      </c>
      <c r="G3" s="38" t="s">
        <v>129</v>
      </c>
      <c r="H3" s="40" t="s">
        <v>130</v>
      </c>
      <c r="I3" s="198" t="s">
        <v>308</v>
      </c>
    </row>
    <row r="4" spans="1:12" x14ac:dyDescent="0.4">
      <c r="A4" s="11">
        <v>20478</v>
      </c>
      <c r="B4" s="11">
        <f>VLOOKUP(A4,'Project Status'!C:D,2,FALSE)</f>
        <v>8672</v>
      </c>
      <c r="C4" s="11" t="str">
        <f>VLOOKUP(A4,'Project Status'!C:E,3,FALSE)</f>
        <v>CP_400182</v>
      </c>
      <c r="D4" s="11" t="str">
        <f>VLOOKUP(A4,'Project Status'!C:F,4,FALSE)</f>
        <v>12000 - Arts and Science: Office of the Dean</v>
      </c>
      <c r="E4" s="11" t="str">
        <f>VLOOKUP(A4,'Project Status'!C:I,7,FALSE)</f>
        <v>Bryan Building - Swing Space Renovation - A&amp;S Planning</v>
      </c>
      <c r="F4" s="11" t="str">
        <f>VLOOKUP(A4,'Project Status'!C:J,8,FALSE)</f>
        <v>Warranty or Construction Closeout</v>
      </c>
      <c r="G4" s="11" t="str">
        <f>VLOOKUP(A4,'Project Status'!C:K,9,FALSE)</f>
        <v>Cathy Bartlett</v>
      </c>
      <c r="H4" s="41">
        <f>VLOOKUP(A4,'Project Status'!C:M,11,FALSE)</f>
        <v>2790000</v>
      </c>
      <c r="I4" s="202">
        <f>VLOOKUP(B4,'Project Status'!D:N,11,FALSE)</f>
        <v>2467989.41</v>
      </c>
    </row>
    <row r="5" spans="1:12" x14ac:dyDescent="0.4">
      <c r="H5" s="43"/>
    </row>
    <row r="6" spans="1:12" x14ac:dyDescent="0.4">
      <c r="H6" s="43"/>
      <c r="J6" s="78"/>
      <c r="K6" s="78"/>
    </row>
    <row r="7" spans="1:12" ht="15" thickBot="1" x14ac:dyDescent="0.45">
      <c r="H7" s="43"/>
      <c r="J7" s="79" t="s">
        <v>179</v>
      </c>
      <c r="K7" s="79" t="s">
        <v>120</v>
      </c>
    </row>
    <row r="8" spans="1:12" x14ac:dyDescent="0.4">
      <c r="E8" s="42" t="s">
        <v>124</v>
      </c>
      <c r="H8" s="43"/>
    </row>
    <row r="9" spans="1:12" x14ac:dyDescent="0.4">
      <c r="E9" t="s">
        <v>240</v>
      </c>
      <c r="F9" t="s">
        <v>139</v>
      </c>
      <c r="H9" s="43">
        <f>J9</f>
        <v>12100</v>
      </c>
      <c r="J9" s="44">
        <v>12100</v>
      </c>
      <c r="K9" s="44">
        <v>6900</v>
      </c>
      <c r="L9" s="74">
        <v>19000</v>
      </c>
    </row>
    <row r="10" spans="1:12" x14ac:dyDescent="0.4">
      <c r="E10" s="33" t="s">
        <v>241</v>
      </c>
      <c r="F10" s="34"/>
      <c r="H10" s="75">
        <f>K9</f>
        <v>6900</v>
      </c>
      <c r="I10" s="78"/>
      <c r="J10" s="44"/>
      <c r="K10" s="44"/>
    </row>
    <row r="11" spans="1:12" x14ac:dyDescent="0.4">
      <c r="E11" s="172" t="s">
        <v>272</v>
      </c>
      <c r="F11" t="s">
        <v>214</v>
      </c>
      <c r="H11" s="43">
        <v>69000</v>
      </c>
      <c r="J11" s="44">
        <v>69000</v>
      </c>
      <c r="K11" s="44">
        <v>32500</v>
      </c>
      <c r="L11" s="74">
        <v>101500</v>
      </c>
    </row>
    <row r="12" spans="1:12" x14ac:dyDescent="0.4">
      <c r="E12" s="33" t="s">
        <v>241</v>
      </c>
      <c r="H12" s="109">
        <v>32500</v>
      </c>
      <c r="J12" s="44"/>
      <c r="K12" s="44"/>
    </row>
    <row r="13" spans="1:12" x14ac:dyDescent="0.4">
      <c r="E13" s="172" t="s">
        <v>325</v>
      </c>
      <c r="F13" t="s">
        <v>146</v>
      </c>
      <c r="H13" s="111">
        <f>SUM(1110000-H11-H9)</f>
        <v>1028900</v>
      </c>
      <c r="J13" s="43">
        <v>1028900</v>
      </c>
      <c r="K13" s="43">
        <v>1640600</v>
      </c>
      <c r="L13" s="74">
        <f>SUM(J13:K13)</f>
        <v>2669500</v>
      </c>
    </row>
    <row r="14" spans="1:12" x14ac:dyDescent="0.4">
      <c r="E14" s="33" t="s">
        <v>289</v>
      </c>
      <c r="H14" s="109">
        <f>SUM(1680000-H12-H10)</f>
        <v>1640600</v>
      </c>
      <c r="J14" s="44"/>
      <c r="K14" s="44"/>
    </row>
    <row r="15" spans="1:12" x14ac:dyDescent="0.4">
      <c r="F15" s="10"/>
      <c r="G15" s="10"/>
      <c r="H15" s="109"/>
    </row>
    <row r="16" spans="1:12" x14ac:dyDescent="0.4">
      <c r="H16" s="45">
        <f>SUM(H9:H14)</f>
        <v>2790000</v>
      </c>
      <c r="J16" s="45">
        <f>SUM(J9:J13)</f>
        <v>1110000</v>
      </c>
      <c r="K16" s="45">
        <f>SUM(K9:K13)</f>
        <v>1680000</v>
      </c>
    </row>
    <row r="18" spans="5:8" x14ac:dyDescent="0.4">
      <c r="E18" s="161" t="s">
        <v>271</v>
      </c>
      <c r="F18" s="162"/>
      <c r="G18" s="161"/>
      <c r="H18" s="163">
        <f>H9+H11+H13</f>
        <v>1110000</v>
      </c>
    </row>
    <row r="20" spans="5:8" x14ac:dyDescent="0.4">
      <c r="E20" s="164" t="s">
        <v>136</v>
      </c>
      <c r="F20" s="164"/>
      <c r="G20" s="164"/>
      <c r="H20" s="165">
        <f>H4-H16</f>
        <v>0</v>
      </c>
    </row>
    <row r="23" spans="5:8" x14ac:dyDescent="0.4">
      <c r="H23" s="44"/>
    </row>
  </sheetData>
  <hyperlinks>
    <hyperlink ref="K1" location="'Project Status'!A1" display="'Project Status'!A1" xr:uid="{2B2C41BE-F208-47B4-9337-E73C3D59FDAF}"/>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5749-E7D8-4D24-8193-D273A52FE892}">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2" bestFit="1" customWidth="1"/>
    <col min="6" max="6" width="11.15234375" bestFit="1" customWidth="1"/>
    <col min="7" max="7" width="11" bestFit="1" customWidth="1"/>
    <col min="8" max="8" width="16.53515625" bestFit="1" customWidth="1"/>
    <col min="10" max="12" width="11.53515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20489</v>
      </c>
      <c r="B4" s="11">
        <f>VLOOKUP(A4,'Project Status'!C:D,2,FALSE)</f>
        <v>8051</v>
      </c>
      <c r="C4" s="11" t="str">
        <f>VLOOKUP(A4,'Project Status'!C:E,3,FALSE)</f>
        <v>CP_400183</v>
      </c>
      <c r="D4" s="11" t="str">
        <f>VLOOKUP(A4,'Project Status'!C:F,4,FALSE)</f>
        <v>14000 - Divinity: Office of the Dean</v>
      </c>
      <c r="E4" s="11" t="str">
        <f>VLOOKUP(A4,'Project Status'!C:I,7,FALSE)</f>
        <v>Divinity Air Handling Unit Replacement, (1/3) - Phase 2 with Benton</v>
      </c>
      <c r="F4" s="11" t="str">
        <f>VLOOKUP(A4,'Project Status'!C:J,8,FALSE)</f>
        <v>Not Started</v>
      </c>
      <c r="G4" s="11" t="str">
        <f>VLOOKUP(A4,'Project Status'!C:K,9,FALSE)</f>
        <v>Hans Mooy</v>
      </c>
      <c r="H4" s="41">
        <f>VLOOKUP(A4,'Project Status'!C:M,11,FALSE)</f>
        <v>26500</v>
      </c>
    </row>
    <row r="5" spans="1:11" x14ac:dyDescent="0.4">
      <c r="H5" s="43"/>
    </row>
    <row r="6" spans="1:11" x14ac:dyDescent="0.4">
      <c r="H6" s="43"/>
      <c r="J6" s="78"/>
      <c r="K6" s="78"/>
    </row>
    <row r="7" spans="1:11" x14ac:dyDescent="0.4">
      <c r="H7" s="43"/>
    </row>
    <row r="8" spans="1:11" x14ac:dyDescent="0.4">
      <c r="E8" s="42" t="s">
        <v>124</v>
      </c>
      <c r="H8" s="43"/>
    </row>
    <row r="9" spans="1:11" x14ac:dyDescent="0.4">
      <c r="E9" t="s">
        <v>240</v>
      </c>
      <c r="F9" t="s">
        <v>139</v>
      </c>
      <c r="H9" s="43">
        <v>26500</v>
      </c>
    </row>
    <row r="10" spans="1:11" x14ac:dyDescent="0.4">
      <c r="E10" s="22"/>
      <c r="F10" s="34"/>
      <c r="H10" s="43"/>
    </row>
    <row r="11" spans="1:11" x14ac:dyDescent="0.4">
      <c r="E11" s="33"/>
      <c r="F11" s="33"/>
      <c r="G11" s="33"/>
      <c r="H11" s="33"/>
      <c r="I11" s="33"/>
    </row>
    <row r="12" spans="1:11" x14ac:dyDescent="0.4">
      <c r="E12" s="22"/>
      <c r="F12" s="22"/>
      <c r="G12" s="22"/>
      <c r="H12" s="22"/>
      <c r="I12" s="22"/>
    </row>
    <row r="13" spans="1:11" x14ac:dyDescent="0.4">
      <c r="E13" s="33"/>
      <c r="F13" s="33"/>
      <c r="G13" s="33"/>
      <c r="H13" s="33"/>
      <c r="I13" s="33"/>
    </row>
    <row r="14" spans="1:11" x14ac:dyDescent="0.4">
      <c r="J14" s="44"/>
      <c r="K14" s="44"/>
    </row>
    <row r="18" spans="5:8" x14ac:dyDescent="0.4">
      <c r="E18" s="161" t="s">
        <v>271</v>
      </c>
      <c r="F18" s="162"/>
      <c r="G18" s="161"/>
      <c r="H18" s="163">
        <f>SUM(H9:H17)</f>
        <v>26500</v>
      </c>
    </row>
    <row r="20" spans="5:8" x14ac:dyDescent="0.4">
      <c r="E20" s="164" t="s">
        <v>136</v>
      </c>
      <c r="F20" s="164"/>
      <c r="G20" s="164"/>
      <c r="H20" s="165">
        <f>H4-H18</f>
        <v>0</v>
      </c>
    </row>
  </sheetData>
  <hyperlinks>
    <hyperlink ref="K1" location="'Project Status'!A1" display="'Project Status'!A1" xr:uid="{83EE5C0E-27A0-4A9C-BCE2-8E4412DE4189}"/>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32.843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20497</v>
      </c>
      <c r="B4" s="11">
        <f>VLOOKUP(A4,'Project Status'!C:D,2,FALSE)</f>
        <v>529</v>
      </c>
      <c r="C4" s="11" t="str">
        <f>VLOOKUP(A4,'Project Status'!C:E,3,FALSE)</f>
        <v>CP_400127</v>
      </c>
      <c r="D4" s="11" t="str">
        <f>VLOOKUP(A4,'Project Status'!C:F,4,FALSE)</f>
        <v>21000 - Peabody College: Office of the Dean</v>
      </c>
      <c r="E4" s="11" t="str">
        <f>VLOOKUP(A4,'Project Status'!C:I,7,FALSE)</f>
        <v>Jesup - Roof Replacement</v>
      </c>
      <c r="F4" s="11" t="str">
        <f>VLOOKUP(A4,'Project Status'!C:J,8,FALSE)</f>
        <v>Finalized</v>
      </c>
      <c r="G4" s="11" t="str">
        <f>VLOOKUP(A4,'Project Status'!C:K,9,FALSE)</f>
        <v>Ben Bedock</v>
      </c>
      <c r="H4" s="41">
        <f>VLOOKUP(A4,'Project Status'!C:M,11,FALSE)</f>
        <v>456850</v>
      </c>
      <c r="I4" s="202">
        <f>VLOOKUP(B4,'Project Status'!D:N,11,FALSE)</f>
        <v>412000</v>
      </c>
    </row>
    <row r="8" spans="1:11" x14ac:dyDescent="0.4">
      <c r="E8" s="42" t="s">
        <v>124</v>
      </c>
    </row>
    <row r="9" spans="1:11" x14ac:dyDescent="0.4">
      <c r="E9" s="22" t="s">
        <v>134</v>
      </c>
      <c r="F9" s="243">
        <v>44769</v>
      </c>
      <c r="H9" s="43">
        <v>79415.5</v>
      </c>
    </row>
    <row r="10" spans="1:11" x14ac:dyDescent="0.4">
      <c r="E10" s="33" t="s">
        <v>137</v>
      </c>
      <c r="F10" s="20"/>
      <c r="G10" s="20"/>
      <c r="H10" s="80">
        <f>372434.5+5000</f>
        <v>377434.5</v>
      </c>
    </row>
    <row r="11" spans="1:11" x14ac:dyDescent="0.4">
      <c r="E11" s="22" t="s">
        <v>356</v>
      </c>
      <c r="F11" t="s">
        <v>310</v>
      </c>
      <c r="H11" s="43">
        <v>-44850</v>
      </c>
    </row>
    <row r="18" spans="5:8" x14ac:dyDescent="0.4">
      <c r="E18" s="161" t="s">
        <v>271</v>
      </c>
      <c r="F18" s="162"/>
      <c r="G18" s="161"/>
      <c r="H18" s="163">
        <f>SUM(H9:H17)</f>
        <v>412000</v>
      </c>
    </row>
    <row r="20" spans="5:8" x14ac:dyDescent="0.4">
      <c r="E20" s="164" t="s">
        <v>136</v>
      </c>
      <c r="F20" s="164"/>
      <c r="G20" s="164"/>
      <c r="H20" s="165">
        <f>I4-H18</f>
        <v>0</v>
      </c>
    </row>
  </sheetData>
  <hyperlinks>
    <hyperlink ref="K1" location="'Project Status'!A1" display="'Project Status'!A1" xr:uid="{442995CA-F49C-4890-9FF0-75DAB9A467F0}"/>
  </hyperlinks>
  <pageMargins left="0.7" right="0.7" top="0.75" bottom="0.75" header="0.3" footer="0.3"/>
  <pageSetup scale="6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411-66F9-46BD-B491-CE4D2BDFCD9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4.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20506</v>
      </c>
      <c r="B4" s="11">
        <f>VLOOKUP(A4,'Project Status'!C:D,2,FALSE)</f>
        <v>1170</v>
      </c>
      <c r="C4" s="11" t="str">
        <f>VLOOKUP(A4,'Project Status'!C:E,3,FALSE)</f>
        <v>CP_400192</v>
      </c>
      <c r="D4" s="11" t="str">
        <f>VLOOKUP(A4,'Project Status'!C:F,4,FALSE)</f>
        <v>21000 - Peabody College: Office of the Dean</v>
      </c>
      <c r="E4" s="11" t="str">
        <f>VLOOKUP(A4,'Project Status'!C:I,7,FALSE)</f>
        <v>Wyatt Center - Window Replacement</v>
      </c>
      <c r="F4" s="11" t="str">
        <f>VLOOKUP(A4,'Project Status'!C:J,8,FALSE)</f>
        <v>Finalized</v>
      </c>
      <c r="G4" s="11" t="str">
        <f>VLOOKUP(A4,'Project Status'!C:K,9,FALSE)</f>
        <v>Ben Bedock</v>
      </c>
      <c r="H4" s="99">
        <f>VLOOKUP(A4,'Project Status'!C:M,11,FALSE)</f>
        <v>344155.26</v>
      </c>
      <c r="I4" s="202">
        <f>VLOOKUP(B4,'Project Status'!D:N,11,FALSE)</f>
        <v>307776.26</v>
      </c>
    </row>
    <row r="8" spans="1:11" x14ac:dyDescent="0.4">
      <c r="E8" s="42" t="s">
        <v>124</v>
      </c>
    </row>
    <row r="9" spans="1:11" x14ac:dyDescent="0.4">
      <c r="E9" s="22" t="s">
        <v>272</v>
      </c>
      <c r="F9" s="34" t="s">
        <v>139</v>
      </c>
      <c r="H9" s="43">
        <v>344155.26</v>
      </c>
    </row>
    <row r="10" spans="1:11" x14ac:dyDescent="0.4">
      <c r="E10" s="22" t="s">
        <v>356</v>
      </c>
      <c r="F10" t="s">
        <v>310</v>
      </c>
      <c r="H10" s="43">
        <v>-36379</v>
      </c>
    </row>
    <row r="12" spans="1:11" x14ac:dyDescent="0.4">
      <c r="E12" s="22"/>
    </row>
    <row r="13" spans="1:11" x14ac:dyDescent="0.4">
      <c r="E13" s="22"/>
      <c r="F13" s="10"/>
      <c r="G13" s="10"/>
      <c r="H13" s="46"/>
    </row>
    <row r="14" spans="1:11" x14ac:dyDescent="0.4">
      <c r="E14" s="22"/>
    </row>
    <row r="18" spans="5:8" x14ac:dyDescent="0.4">
      <c r="E18" s="161" t="s">
        <v>271</v>
      </c>
      <c r="F18" s="162"/>
      <c r="G18" s="161"/>
      <c r="H18" s="163">
        <f>SUM(H9:H17)</f>
        <v>307776.26</v>
      </c>
    </row>
    <row r="20" spans="5:8" x14ac:dyDescent="0.4">
      <c r="E20" s="164" t="s">
        <v>136</v>
      </c>
      <c r="F20" s="164"/>
      <c r="G20" s="164"/>
      <c r="H20" s="165">
        <f>I4-H18</f>
        <v>0</v>
      </c>
    </row>
  </sheetData>
  <hyperlinks>
    <hyperlink ref="K1" location="'Project Status'!A1" display="'Project Status'!A1" xr:uid="{6B2AECA2-CEB3-47AB-8FFB-58AED0692E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sheetPr>
  <dimension ref="A1:K32"/>
  <sheetViews>
    <sheetView tabSelected="1" zoomScaleNormal="100" workbookViewId="0">
      <selection activeCell="B2" sqref="B2"/>
    </sheetView>
  </sheetViews>
  <sheetFormatPr defaultRowHeight="14.6" x14ac:dyDescent="0.4"/>
  <cols>
    <col min="1" max="1" width="19.84375" customWidth="1"/>
    <col min="2" max="2" width="12.53515625" customWidth="1"/>
    <col min="3" max="5" width="15.3828125" customWidth="1"/>
  </cols>
  <sheetData>
    <row r="1" spans="1:10" s="8" customFormat="1" x14ac:dyDescent="0.4">
      <c r="A1" s="10" t="s">
        <v>189</v>
      </c>
      <c r="B1"/>
      <c r="C1"/>
      <c r="D1"/>
      <c r="E1"/>
    </row>
    <row r="2" spans="1:10" s="8" customFormat="1" x14ac:dyDescent="0.4">
      <c r="A2" s="95" t="s">
        <v>112</v>
      </c>
      <c r="B2" s="94">
        <v>45359</v>
      </c>
      <c r="C2"/>
      <c r="D2"/>
      <c r="E2"/>
    </row>
    <row r="4" spans="1:10" x14ac:dyDescent="0.4">
      <c r="A4" s="10" t="s">
        <v>230</v>
      </c>
      <c r="D4" s="69"/>
    </row>
    <row r="5" spans="1:10" ht="29.15" x14ac:dyDescent="0.4">
      <c r="A5" s="23" t="s">
        <v>86</v>
      </c>
      <c r="B5" s="65" t="s">
        <v>99</v>
      </c>
      <c r="C5" s="134" t="s">
        <v>344</v>
      </c>
      <c r="D5" s="28" t="s">
        <v>345</v>
      </c>
      <c r="E5" s="29" t="s">
        <v>400</v>
      </c>
    </row>
    <row r="6" spans="1:10" x14ac:dyDescent="0.4">
      <c r="A6" t="s">
        <v>194</v>
      </c>
      <c r="B6" s="21">
        <f>Contributions!B5</f>
        <v>1075461.7320675128</v>
      </c>
      <c r="C6" s="57">
        <f>'Shared Building Allocation'!C5*1000000</f>
        <v>3663826</v>
      </c>
      <c r="D6" s="58">
        <f>'Shared Building Allocation'!F5*1000000</f>
        <v>2276289.625</v>
      </c>
      <c r="E6" s="59">
        <f>C6-D6</f>
        <v>1387536.375</v>
      </c>
      <c r="G6" s="207"/>
      <c r="H6" s="207"/>
      <c r="I6" s="207"/>
      <c r="J6" s="207"/>
    </row>
    <row r="7" spans="1:10" x14ac:dyDescent="0.4">
      <c r="A7" t="s">
        <v>196</v>
      </c>
      <c r="B7" s="21">
        <f>Contributions!B6</f>
        <v>121421.42689276834</v>
      </c>
      <c r="C7" s="66">
        <f>'Shared Building Allocation'!C6*1000000</f>
        <v>413652</v>
      </c>
      <c r="D7" s="67">
        <f>'Shared Building Allocation'!F6*1000000</f>
        <v>574290</v>
      </c>
      <c r="E7" s="68">
        <f t="shared" ref="E7:E14" si="0">C7-D7</f>
        <v>-160638</v>
      </c>
      <c r="G7" s="207"/>
      <c r="H7" s="207"/>
      <c r="I7" s="207"/>
      <c r="J7" s="207"/>
    </row>
    <row r="8" spans="1:10" x14ac:dyDescent="0.4">
      <c r="A8" t="s">
        <v>197</v>
      </c>
      <c r="B8" s="21">
        <f>Contributions!B7</f>
        <v>57814.730923479161</v>
      </c>
      <c r="C8" s="66">
        <f>'Shared Building Allocation'!C7*1000000</f>
        <v>196960</v>
      </c>
      <c r="D8" s="67">
        <f>'Shared Building Allocation'!F7*1000000</f>
        <v>96362.5</v>
      </c>
      <c r="E8" s="68">
        <f t="shared" si="0"/>
        <v>100597.5</v>
      </c>
      <c r="G8" s="207"/>
      <c r="H8" s="207"/>
      <c r="I8" s="207"/>
      <c r="J8" s="207"/>
    </row>
    <row r="9" spans="1:10" x14ac:dyDescent="0.4">
      <c r="A9" t="s">
        <v>198</v>
      </c>
      <c r="B9" s="21">
        <f>Contributions!B8</f>
        <v>537962.332719445</v>
      </c>
      <c r="C9" s="66">
        <f>'Shared Building Allocation'!C8*1000000</f>
        <v>1832701</v>
      </c>
      <c r="D9" s="67">
        <f>'Shared Building Allocation'!F8*1000000</f>
        <v>353000</v>
      </c>
      <c r="E9" s="68">
        <f t="shared" si="0"/>
        <v>1479701</v>
      </c>
      <c r="G9" s="207"/>
      <c r="H9" s="207"/>
      <c r="I9" s="207"/>
      <c r="J9" s="207"/>
    </row>
    <row r="10" spans="1:10" x14ac:dyDescent="0.4">
      <c r="A10" t="s">
        <v>199</v>
      </c>
      <c r="B10" s="21">
        <f>Contributions!B9</f>
        <v>120155.48460329951</v>
      </c>
      <c r="C10" s="66">
        <f>'Shared Building Allocation'!C9*1000000</f>
        <v>409339</v>
      </c>
      <c r="D10" s="67">
        <f>'Shared Building Allocation'!F9*1000000</f>
        <v>1206134.5</v>
      </c>
      <c r="E10" s="68">
        <f t="shared" si="0"/>
        <v>-796795.5</v>
      </c>
      <c r="G10" s="207"/>
      <c r="H10" s="207"/>
      <c r="I10" s="207"/>
      <c r="J10" s="207"/>
    </row>
    <row r="11" spans="1:10" x14ac:dyDescent="0.4">
      <c r="A11" t="s">
        <v>201</v>
      </c>
      <c r="B11" s="21">
        <f>Contributions!B10</f>
        <v>280022.39987629937</v>
      </c>
      <c r="C11" s="66">
        <f>'Shared Building Allocation'!C10*1000000</f>
        <v>953965</v>
      </c>
      <c r="D11" s="67">
        <f>'Shared Building Allocation'!F10*1000000</f>
        <v>1036871.8750000001</v>
      </c>
      <c r="E11" s="68">
        <f t="shared" si="0"/>
        <v>-82906.875000000116</v>
      </c>
      <c r="G11" s="207"/>
      <c r="H11" s="207"/>
      <c r="I11" s="207"/>
      <c r="J11" s="207"/>
    </row>
    <row r="12" spans="1:10" x14ac:dyDescent="0.4">
      <c r="A12" t="s">
        <v>200</v>
      </c>
      <c r="B12" s="21">
        <f>Contributions!B11</f>
        <v>106166.70000000001</v>
      </c>
      <c r="C12" s="66">
        <f>'Shared Building Allocation'!C11*1000000</f>
        <v>361683</v>
      </c>
      <c r="D12" s="67">
        <f>'Shared Building Allocation'!F11*1000000</f>
        <v>4900</v>
      </c>
      <c r="E12" s="68">
        <f t="shared" si="0"/>
        <v>356783</v>
      </c>
      <c r="G12" s="207"/>
      <c r="H12" s="207"/>
      <c r="I12" s="207"/>
      <c r="J12" s="207"/>
    </row>
    <row r="13" spans="1:10" x14ac:dyDescent="0.4">
      <c r="A13" t="s">
        <v>195</v>
      </c>
      <c r="B13" s="21">
        <f>Contributions!B12</f>
        <v>59008.361666666671</v>
      </c>
      <c r="C13" s="66">
        <f>'Shared Building Allocation'!C12*1000000</f>
        <v>201027</v>
      </c>
      <c r="D13" s="67">
        <f>'Shared Building Allocation'!F12*1000000</f>
        <v>300000</v>
      </c>
      <c r="E13" s="68">
        <f t="shared" si="0"/>
        <v>-98973</v>
      </c>
      <c r="G13" s="207"/>
      <c r="H13" s="207"/>
      <c r="I13" s="207"/>
      <c r="J13" s="207"/>
    </row>
    <row r="14" spans="1:10" x14ac:dyDescent="0.4">
      <c r="A14" t="s">
        <v>202</v>
      </c>
      <c r="B14" s="21">
        <f>Contributions!B13</f>
        <v>390796.88477064227</v>
      </c>
      <c r="C14" s="66">
        <f>'Shared Building Allocation'!C13*1000000</f>
        <v>1331346</v>
      </c>
      <c r="D14" s="67">
        <f>'Shared Building Allocation'!F13*1000000</f>
        <v>2949437.76</v>
      </c>
      <c r="E14" s="68">
        <f t="shared" si="0"/>
        <v>-1618091.7599999998</v>
      </c>
      <c r="G14" s="207"/>
      <c r="H14" s="207"/>
      <c r="I14" s="207"/>
      <c r="J14" s="207"/>
    </row>
    <row r="15" spans="1:10" x14ac:dyDescent="0.4">
      <c r="A15" s="24"/>
      <c r="B15" s="24">
        <v>2748810.0535201132</v>
      </c>
      <c r="C15" s="63">
        <f>SUM(C6:C14)</f>
        <v>9364499</v>
      </c>
      <c r="D15" s="62">
        <f>SUM(D6:D14)</f>
        <v>8797286.2599999998</v>
      </c>
      <c r="E15" s="61">
        <f>SUM(E6:E14)</f>
        <v>567212.74000000022</v>
      </c>
      <c r="G15" s="207"/>
      <c r="H15" s="207"/>
      <c r="I15" s="207"/>
      <c r="J15" s="207"/>
    </row>
    <row r="16" spans="1:10" x14ac:dyDescent="0.4">
      <c r="A16" s="26"/>
    </row>
    <row r="17" spans="1:11" x14ac:dyDescent="0.4">
      <c r="A17" s="26"/>
    </row>
    <row r="18" spans="1:11" x14ac:dyDescent="0.4">
      <c r="A18" s="26"/>
    </row>
    <row r="19" spans="1:11" s="20" customFormat="1" ht="14.7" customHeight="1" x14ac:dyDescent="0.4">
      <c r="A19" s="10" t="s">
        <v>248</v>
      </c>
      <c r="B19"/>
      <c r="C19"/>
      <c r="D19" s="69" t="s">
        <v>170</v>
      </c>
      <c r="E19"/>
      <c r="J19"/>
      <c r="K19"/>
    </row>
    <row r="20" spans="1:11" s="20" customFormat="1" ht="29.15" x14ac:dyDescent="0.4">
      <c r="A20" s="129" t="s">
        <v>86</v>
      </c>
      <c r="B20" s="130" t="s">
        <v>99</v>
      </c>
      <c r="C20" s="211" t="s">
        <v>344</v>
      </c>
      <c r="D20" s="134" t="s">
        <v>346</v>
      </c>
      <c r="E20" s="135" t="s">
        <v>400</v>
      </c>
      <c r="J20"/>
      <c r="K20"/>
    </row>
    <row r="21" spans="1:11" s="20" customFormat="1" x14ac:dyDescent="0.4">
      <c r="A21" t="s">
        <v>194</v>
      </c>
      <c r="B21" s="21">
        <f>Contributions!F5</f>
        <v>1059147</v>
      </c>
      <c r="C21" s="133">
        <f>Contributions!G5</f>
        <v>4204813.59</v>
      </c>
      <c r="D21" s="57">
        <f>'Shared Building Allocation'!K5*1000000</f>
        <v>1905723.3440000003</v>
      </c>
      <c r="E21" s="137">
        <f>C21-D21</f>
        <v>2299090.2459999993</v>
      </c>
      <c r="I21" s="254"/>
      <c r="J21"/>
      <c r="K21"/>
    </row>
    <row r="22" spans="1:11" s="20" customFormat="1" x14ac:dyDescent="0.4">
      <c r="A22" t="s">
        <v>196</v>
      </c>
      <c r="B22" s="21">
        <f>Contributions!F6</f>
        <v>121421</v>
      </c>
      <c r="C22" s="133">
        <f>Contributions!G6</f>
        <v>482041.37</v>
      </c>
      <c r="D22" s="66">
        <f>'Shared Building Allocation'!K6*1000000</f>
        <v>1964100</v>
      </c>
      <c r="E22" s="138">
        <f t="shared" ref="E22:E29" si="1">C22-D22</f>
        <v>-1482058.63</v>
      </c>
      <c r="I22" s="254"/>
      <c r="J22"/>
      <c r="K22"/>
    </row>
    <row r="23" spans="1:11" s="20" customFormat="1" x14ac:dyDescent="0.4">
      <c r="A23" t="s">
        <v>197</v>
      </c>
      <c r="B23" s="21">
        <f>Contributions!F7</f>
        <v>58263</v>
      </c>
      <c r="C23" s="133">
        <f>Contributions!G7</f>
        <v>231304.11000000002</v>
      </c>
      <c r="D23" s="66">
        <f>'Shared Building Allocation'!K7*1000000</f>
        <v>3660360</v>
      </c>
      <c r="E23" s="138">
        <f t="shared" si="1"/>
        <v>-3429055.89</v>
      </c>
      <c r="I23" s="254"/>
      <c r="J23"/>
      <c r="K23"/>
    </row>
    <row r="24" spans="1:11" s="20" customFormat="1" x14ac:dyDescent="0.4">
      <c r="A24" t="s">
        <v>198</v>
      </c>
      <c r="B24" s="21">
        <f>Contributions!F8</f>
        <v>552478</v>
      </c>
      <c r="C24" s="133">
        <f>Contributions!G8</f>
        <v>2193337.66</v>
      </c>
      <c r="D24" s="66">
        <f>'Shared Building Allocation'!K8*1000000</f>
        <v>2024932.9999999998</v>
      </c>
      <c r="E24" s="138">
        <f t="shared" si="1"/>
        <v>168404.66000000038</v>
      </c>
      <c r="I24" s="254"/>
      <c r="J24"/>
      <c r="K24"/>
    </row>
    <row r="25" spans="1:11" x14ac:dyDescent="0.4">
      <c r="A25" t="s">
        <v>199</v>
      </c>
      <c r="B25" s="21">
        <f>Contributions!F9</f>
        <v>120155</v>
      </c>
      <c r="C25" s="133">
        <f>Contributions!G9</f>
        <v>477015.35000000003</v>
      </c>
      <c r="D25" s="66">
        <f>'Shared Building Allocation'!K9*1000000</f>
        <v>387335</v>
      </c>
      <c r="E25" s="138">
        <f t="shared" si="1"/>
        <v>89680.350000000035</v>
      </c>
      <c r="I25" s="254"/>
    </row>
    <row r="26" spans="1:11" x14ac:dyDescent="0.4">
      <c r="A26" t="s">
        <v>201</v>
      </c>
      <c r="B26" s="21">
        <f>Contributions!F10</f>
        <v>265674</v>
      </c>
      <c r="C26" s="133">
        <f>Contributions!G10</f>
        <v>1054725.78</v>
      </c>
      <c r="D26" s="66">
        <f>'Shared Building Allocation'!K10*1000000</f>
        <v>95480.375999999989</v>
      </c>
      <c r="E26" s="138">
        <f t="shared" si="1"/>
        <v>959245.4040000001</v>
      </c>
      <c r="I26" s="254"/>
    </row>
    <row r="27" spans="1:11" x14ac:dyDescent="0.4">
      <c r="A27" t="s">
        <v>200</v>
      </c>
      <c r="B27" s="21">
        <f>Contributions!F11</f>
        <v>105746</v>
      </c>
      <c r="C27" s="133">
        <f>Contributions!G11</f>
        <v>419811.62</v>
      </c>
      <c r="D27" s="66">
        <f>'Shared Building Allocation'!K11*1000000</f>
        <v>255957</v>
      </c>
      <c r="E27" s="138">
        <f t="shared" si="1"/>
        <v>163854.62</v>
      </c>
      <c r="I27" s="254"/>
    </row>
    <row r="28" spans="1:11" x14ac:dyDescent="0.4">
      <c r="A28" t="s">
        <v>195</v>
      </c>
      <c r="B28" s="21">
        <f>Contributions!F12</f>
        <v>99140</v>
      </c>
      <c r="C28" s="133">
        <f>Contributions!G12</f>
        <v>393585.80000000005</v>
      </c>
      <c r="D28" s="66">
        <f>'Shared Building Allocation'!K12*1000000</f>
        <v>0</v>
      </c>
      <c r="E28" s="138">
        <f t="shared" si="1"/>
        <v>393585.80000000005</v>
      </c>
      <c r="I28" s="254"/>
    </row>
    <row r="29" spans="1:11" x14ac:dyDescent="0.4">
      <c r="A29" t="s">
        <v>202</v>
      </c>
      <c r="B29" s="21">
        <f>Contributions!F13</f>
        <v>396133</v>
      </c>
      <c r="C29" s="133">
        <f>Contributions!G13</f>
        <v>1572648.01</v>
      </c>
      <c r="D29" s="66">
        <f>'Shared Building Allocation'!K13*1000000</f>
        <v>398033</v>
      </c>
      <c r="E29" s="138">
        <f t="shared" si="1"/>
        <v>1174615.01</v>
      </c>
      <c r="I29" s="254"/>
    </row>
    <row r="30" spans="1:11" x14ac:dyDescent="0.4">
      <c r="A30" s="131"/>
      <c r="B30" s="131">
        <v>2748810.0535201132</v>
      </c>
      <c r="C30" s="132">
        <f>SUM(C21:C29)</f>
        <v>11029283.289999999</v>
      </c>
      <c r="D30" s="63">
        <f>SUM(D21:D29)</f>
        <v>10691921.720000001</v>
      </c>
      <c r="E30" s="136">
        <f>SUM(E21:E29)</f>
        <v>337361.5700000003</v>
      </c>
      <c r="I30" s="253"/>
    </row>
    <row r="31" spans="1:11" x14ac:dyDescent="0.4">
      <c r="A31" s="20"/>
      <c r="B31" s="20"/>
      <c r="C31" s="203"/>
    </row>
    <row r="32" spans="1:11" x14ac:dyDescent="0.4">
      <c r="C32" s="36"/>
      <c r="D32" s="36"/>
    </row>
  </sheetData>
  <pageMargins left="0.7" right="0.7" top="0.75" bottom="0.75" header="0.3" footer="0.3"/>
  <pageSetup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EF5E-B4FA-4E52-9E64-945A930AA128}">
  <sheetPr>
    <tabColor theme="1" tint="0.499984740745262"/>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 bestFit="1" customWidth="1"/>
    <col min="6" max="6" width="32.3828125" bestFit="1" customWidth="1"/>
    <col min="7" max="7" width="12.3046875" bestFit="1" customWidth="1"/>
    <col min="8" max="8" width="16.53515625" bestFit="1" customWidth="1"/>
    <col min="9" max="9" width="13.304687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20562</v>
      </c>
      <c r="B4" s="11">
        <f>VLOOKUP(A4,'Project Status'!C:D,2,FALSE)</f>
        <v>4564</v>
      </c>
      <c r="C4" s="11" t="str">
        <f>VLOOKUP(A4,'Project Status'!C:E,3,FALSE)</f>
        <v>CP_400175</v>
      </c>
      <c r="D4" s="11" t="str">
        <f>VLOOKUP(A4,'Project Status'!C:F,4,FALSE)</f>
        <v>21000 - Peabody College: Office of the Dean</v>
      </c>
      <c r="E4" s="11" t="str">
        <f>VLOOKUP(A4,'Project Status'!C:I,7,FALSE)</f>
        <v>Wyatt Center - VAV Replacement</v>
      </c>
      <c r="F4" s="11" t="str">
        <f>VLOOKUP(A4,'Project Status'!C:J,8,FALSE)</f>
        <v>Financial Closeout</v>
      </c>
      <c r="G4" s="11" t="str">
        <f>VLOOKUP(A4,'Project Status'!C:K,9,FALSE)</f>
        <v>Sean Rewers</v>
      </c>
      <c r="H4" s="99">
        <f>VLOOKUP(A4,'Project Status'!C:M,11,FALSE)</f>
        <v>405791</v>
      </c>
      <c r="I4" s="202">
        <f>VLOOKUP(B4,'Project Status'!D:N,11,FALSE)</f>
        <v>362559.64</v>
      </c>
    </row>
    <row r="8" spans="1:11" x14ac:dyDescent="0.4">
      <c r="E8" s="42" t="s">
        <v>124</v>
      </c>
    </row>
    <row r="9" spans="1:11" x14ac:dyDescent="0.4">
      <c r="E9" s="22" t="s">
        <v>233</v>
      </c>
      <c r="F9" s="34" t="s">
        <v>139</v>
      </c>
      <c r="H9" s="43">
        <v>405791</v>
      </c>
    </row>
    <row r="13" spans="1:11" x14ac:dyDescent="0.4">
      <c r="F13" s="10"/>
      <c r="G13" s="10"/>
      <c r="H13" s="46"/>
    </row>
    <row r="18" spans="5:8" x14ac:dyDescent="0.4">
      <c r="E18" s="161" t="s">
        <v>271</v>
      </c>
      <c r="F18" s="162"/>
      <c r="G18" s="161"/>
      <c r="H18" s="163">
        <f>SUM(H9:H17)</f>
        <v>405791</v>
      </c>
    </row>
    <row r="20" spans="5:8" x14ac:dyDescent="0.4">
      <c r="E20" s="164" t="s">
        <v>136</v>
      </c>
      <c r="F20" s="164"/>
      <c r="G20" s="164"/>
      <c r="H20" s="165">
        <f>H4-H18</f>
        <v>0</v>
      </c>
    </row>
  </sheetData>
  <hyperlinks>
    <hyperlink ref="K1" location="'Project Status'!A1" display="'Project Status'!A1" xr:uid="{A927072C-3DC7-480C-8A16-E5883B6FDD97}"/>
  </hyperlinks>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1"/>
  </sheetPr>
  <dimension ref="A1:K20"/>
  <sheetViews>
    <sheetView zoomScale="90" zoomScaleNormal="90" workbookViewId="0">
      <selection activeCell="H20" sqref="H20"/>
    </sheetView>
  </sheetViews>
  <sheetFormatPr defaultColWidth="8.15234375" defaultRowHeight="14.6" x14ac:dyDescent="0.4"/>
  <cols>
    <col min="1" max="1" width="8.53515625" bestFit="1" customWidth="1"/>
    <col min="2" max="2" width="6.69140625" bestFit="1" customWidth="1"/>
    <col min="3" max="3" width="11" bestFit="1" customWidth="1"/>
    <col min="4" max="4" width="40.15234375" bestFit="1" customWidth="1"/>
    <col min="5" max="5" width="45.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20566</v>
      </c>
      <c r="B4" s="11">
        <f>VLOOKUP(A4,'Project Status'!C:D,2,FALSE)</f>
        <v>20054</v>
      </c>
      <c r="C4" s="11" t="str">
        <f>VLOOKUP(A4,'Project Status'!C:E,3,FALSE)</f>
        <v>CP_400151</v>
      </c>
      <c r="D4" s="11" t="str">
        <f>VLOOKUP(A4,'Project Status'!C:F,4,FALSE)</f>
        <v>12000 - Arts and Science: Office of the Dean</v>
      </c>
      <c r="E4" s="11" t="str">
        <f>VLOOKUP(A4,'Project Status'!C:I,7,FALSE)</f>
        <v>SC Chemistry (SC7) - Elevator 1 &amp; 2 Modernization</v>
      </c>
      <c r="F4" s="11" t="str">
        <f>VLOOKUP(A4,'Project Status'!C:J,8,FALSE)</f>
        <v>Financial Closeout</v>
      </c>
      <c r="G4" s="11" t="str">
        <f>VLOOKUP(A4,'Project Status'!C:K,9,FALSE)</f>
        <v>Ben Bedock</v>
      </c>
      <c r="H4" s="41">
        <f>VLOOKUP(A4,'Project Status'!C:M,11,FALSE)</f>
        <v>781870</v>
      </c>
      <c r="I4" s="202">
        <f>VLOOKUP(B4,'Project Status'!D:N,11,FALSE)</f>
        <v>722586.68</v>
      </c>
    </row>
    <row r="8" spans="1:11" x14ac:dyDescent="0.4">
      <c r="E8" s="42" t="s">
        <v>124</v>
      </c>
    </row>
    <row r="9" spans="1:11" x14ac:dyDescent="0.4">
      <c r="E9" s="22" t="s">
        <v>166</v>
      </c>
      <c r="F9" s="34" t="s">
        <v>139</v>
      </c>
      <c r="H9" s="110">
        <v>17050</v>
      </c>
    </row>
    <row r="10" spans="1:11" x14ac:dyDescent="0.4">
      <c r="E10" s="22" t="s">
        <v>226</v>
      </c>
      <c r="F10" t="s">
        <v>214</v>
      </c>
      <c r="H10" s="44">
        <v>764820</v>
      </c>
    </row>
    <row r="11" spans="1:11" x14ac:dyDescent="0.4">
      <c r="E11" s="22" t="s">
        <v>405</v>
      </c>
      <c r="F11" t="s">
        <v>437</v>
      </c>
      <c r="H11" s="44">
        <v>-59283.32</v>
      </c>
    </row>
    <row r="18" spans="5:8" x14ac:dyDescent="0.4">
      <c r="E18" s="161" t="s">
        <v>271</v>
      </c>
      <c r="F18" s="162"/>
      <c r="G18" s="161"/>
      <c r="H18" s="163">
        <f>SUM(H9:H17)</f>
        <v>722586.68</v>
      </c>
    </row>
    <row r="20" spans="5:8" x14ac:dyDescent="0.4">
      <c r="E20" s="164" t="s">
        <v>136</v>
      </c>
      <c r="F20" s="164"/>
      <c r="G20" s="164"/>
      <c r="H20" s="165">
        <f>I4-H18</f>
        <v>0</v>
      </c>
    </row>
  </sheetData>
  <hyperlinks>
    <hyperlink ref="K1" location="'Project Status'!A1" display="'Project Status'!A1" xr:uid="{9D9D91B3-96ED-43B6-8190-1DB57895DB45}"/>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861-DF3A-4CB2-ADBB-E60B0AC284CC}">
  <sheetPr>
    <tabColor theme="1" tint="0.499984740745262"/>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3046875" bestFit="1" customWidth="1"/>
    <col min="6" max="6" width="32.3828125" bestFit="1" customWidth="1"/>
    <col min="7" max="7" width="11.3046875" bestFit="1" customWidth="1"/>
    <col min="8" max="8" width="16.53515625" bestFit="1" customWidth="1"/>
    <col min="9" max="9" width="1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20573</v>
      </c>
      <c r="B4" s="11">
        <f>VLOOKUP(A4,'Project Status'!C:D,2,FALSE)</f>
        <v>8047</v>
      </c>
      <c r="C4" s="11" t="str">
        <f>VLOOKUP(A4,'Project Status'!C:E,3,FALSE)</f>
        <v>CP_400185</v>
      </c>
      <c r="D4" s="11" t="str">
        <f>VLOOKUP(A4,'Project Status'!C:F,4,FALSE)</f>
        <v>21000 - Peabody College: Office of the Dean</v>
      </c>
      <c r="E4" s="11" t="str">
        <f>VLOOKUP(A4,'Project Status'!C:I,7,FALSE)</f>
        <v>Wyatt Center - Roof Replacement</v>
      </c>
      <c r="F4" s="11" t="str">
        <f>VLOOKUP(A4,'Project Status'!C:J,8,FALSE)</f>
        <v>Financial Closeout</v>
      </c>
      <c r="G4" s="11" t="str">
        <f>VLOOKUP(A4,'Project Status'!C:K,9,FALSE)</f>
        <v>Ben Bedock</v>
      </c>
      <c r="H4" s="41">
        <f>VLOOKUP(A4,'Project Status'!C:M,11,FALSE)</f>
        <v>1232681</v>
      </c>
      <c r="I4" s="202">
        <f>VLOOKUP(B4,'Project Status'!D:N,11,FALSE)</f>
        <v>1113460</v>
      </c>
    </row>
    <row r="8" spans="1:11" x14ac:dyDescent="0.4">
      <c r="E8" s="42" t="s">
        <v>124</v>
      </c>
    </row>
    <row r="9" spans="1:11" x14ac:dyDescent="0.4">
      <c r="E9" t="s">
        <v>240</v>
      </c>
      <c r="F9" s="34" t="s">
        <v>139</v>
      </c>
      <c r="H9" s="43">
        <v>1232681</v>
      </c>
    </row>
    <row r="13" spans="1:11" x14ac:dyDescent="0.4">
      <c r="F13" s="10"/>
      <c r="G13" s="10"/>
      <c r="H13" s="46"/>
    </row>
    <row r="18" spans="5:8" x14ac:dyDescent="0.4">
      <c r="E18" s="161" t="s">
        <v>271</v>
      </c>
      <c r="F18" s="162"/>
      <c r="G18" s="161"/>
      <c r="H18" s="163">
        <f>SUM(H9:H17)</f>
        <v>1232681</v>
      </c>
    </row>
    <row r="20" spans="5:8" x14ac:dyDescent="0.4">
      <c r="E20" s="164" t="s">
        <v>136</v>
      </c>
      <c r="F20" s="164"/>
      <c r="G20" s="164"/>
      <c r="H20" s="165">
        <f>H4-H18</f>
        <v>0</v>
      </c>
    </row>
  </sheetData>
  <hyperlinks>
    <hyperlink ref="K1" location="'Project Status'!A1" display="'Project Status'!A1" xr:uid="{79510245-6057-43AB-81B3-AE76FDEE2F69}"/>
  </hyperlinks>
  <pageMargins left="0.7" right="0.7" top="0.75" bottom="0.75" header="0.3" footer="0.3"/>
  <pageSetup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1" tint="0.499984740745262"/>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31" bestFit="1" customWidth="1"/>
    <col min="6" max="6" width="32.3828125" bestFit="1" customWidth="1"/>
    <col min="7" max="7" width="12.3046875" bestFit="1" customWidth="1"/>
    <col min="8" max="8" width="16.53515625" bestFit="1" customWidth="1"/>
    <col min="9" max="9" width="13.304687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20574</v>
      </c>
      <c r="B4" s="11">
        <f>VLOOKUP(A4,'Project Status'!C:D,2,FALSE)</f>
        <v>8145</v>
      </c>
      <c r="C4" s="11" t="str">
        <f>VLOOKUP(A4,'Project Status'!C:E,3,FALSE)</f>
        <v>CP_400164</v>
      </c>
      <c r="D4" s="11" t="str">
        <f>VLOOKUP(A4,'Project Status'!C:F,4,FALSE)</f>
        <v>18200 - Basic Sciences: Office of the Dean</v>
      </c>
      <c r="E4" s="11" t="str">
        <f>VLOOKUP(A4,'Project Status'!C:I,7,FALSE)</f>
        <v>MRB III - Steam Coil Replacement</v>
      </c>
      <c r="F4" s="11" t="str">
        <f>VLOOKUP(A4,'Project Status'!C:J,8,FALSE)</f>
        <v>Financial Closeout</v>
      </c>
      <c r="G4" s="11" t="str">
        <f>VLOOKUP(A4,'Project Status'!C:K,9,FALSE)</f>
        <v>Sean Rewers</v>
      </c>
      <c r="H4" s="41">
        <f>VLOOKUP(A4,'Project Status'!C:M,11,FALSE)</f>
        <v>218202</v>
      </c>
      <c r="I4" s="202">
        <f>VLOOKUP(B4,'Project Status'!D:N,11,FALSE)</f>
        <v>195665</v>
      </c>
    </row>
    <row r="8" spans="1:11" x14ac:dyDescent="0.4">
      <c r="E8" s="42" t="s">
        <v>124</v>
      </c>
    </row>
    <row r="9" spans="1:11" x14ac:dyDescent="0.4">
      <c r="E9" s="22" t="s">
        <v>215</v>
      </c>
      <c r="F9" s="34" t="s">
        <v>139</v>
      </c>
      <c r="H9" s="43">
        <v>218202</v>
      </c>
    </row>
    <row r="18" spans="5:8" x14ac:dyDescent="0.4">
      <c r="E18" s="161" t="s">
        <v>271</v>
      </c>
      <c r="F18" s="162"/>
      <c r="G18" s="161"/>
      <c r="H18" s="163">
        <f>SUM(H9:H17)</f>
        <v>218202</v>
      </c>
    </row>
    <row r="20" spans="5:8" x14ac:dyDescent="0.4">
      <c r="E20" s="164" t="s">
        <v>136</v>
      </c>
      <c r="F20" s="164"/>
      <c r="G20" s="164"/>
      <c r="H20" s="165">
        <f>H4-H18</f>
        <v>0</v>
      </c>
    </row>
  </sheetData>
  <hyperlinks>
    <hyperlink ref="K1" location="'Project Status'!A1" display="'Project Status'!A1" xr:uid="{CC43B7B6-1C16-4566-88FC-577E36BE5553}"/>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57.53515625" bestFit="1" customWidth="1"/>
    <col min="6" max="6" width="7" bestFit="1" customWidth="1"/>
    <col min="7" max="7" width="11" bestFit="1" customWidth="1"/>
    <col min="8" max="8" width="16.53515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20577</v>
      </c>
      <c r="B4" s="11">
        <f>VLOOKUP(A4,'Project Status'!C:D,2,FALSE)</f>
        <v>8146</v>
      </c>
      <c r="C4" s="11" t="str">
        <f>VLOOKUP(A4,'Project Status'!C:E,3,FALSE)</f>
        <v>CP_400154</v>
      </c>
      <c r="D4" s="11" t="str">
        <f>VLOOKUP(A4,'Project Status'!C:F,4,FALSE)</f>
        <v>13000 - Blair: Office of the Dean</v>
      </c>
      <c r="E4" s="11" t="str">
        <f>VLOOKUP(A4,'Project Status'!C:I,7,FALSE)</f>
        <v>Blair School of Music - Air Handling Unit Replacement -Phase 1</v>
      </c>
      <c r="F4" s="11" t="str">
        <f>VLOOKUP(A4,'Project Status'!C:J,8,FALSE)</f>
        <v>Bidding</v>
      </c>
      <c r="G4" s="11" t="str">
        <f>VLOOKUP(A4,'Project Status'!C:K,9,FALSE)</f>
        <v>Hans Mooy</v>
      </c>
      <c r="H4" s="41">
        <f>VLOOKUP(A4,'Project Status'!C:M,11,FALSE)</f>
        <v>223000</v>
      </c>
    </row>
    <row r="8" spans="1:11" x14ac:dyDescent="0.4">
      <c r="E8" s="42" t="s">
        <v>124</v>
      </c>
    </row>
    <row r="9" spans="1:11" x14ac:dyDescent="0.4">
      <c r="E9" s="22" t="s">
        <v>166</v>
      </c>
      <c r="F9" s="34" t="s">
        <v>139</v>
      </c>
      <c r="H9" s="43">
        <v>53750</v>
      </c>
    </row>
    <row r="10" spans="1:11" x14ac:dyDescent="0.4">
      <c r="E10" s="22" t="s">
        <v>233</v>
      </c>
      <c r="F10" t="s">
        <v>214</v>
      </c>
      <c r="H10" s="44">
        <v>169250</v>
      </c>
    </row>
    <row r="18" spans="5:8" x14ac:dyDescent="0.4">
      <c r="E18" s="161" t="s">
        <v>271</v>
      </c>
      <c r="F18" s="162"/>
      <c r="G18" s="161"/>
      <c r="H18" s="163">
        <f>SUM(H9:H17)</f>
        <v>223000</v>
      </c>
    </row>
    <row r="20" spans="5:8" x14ac:dyDescent="0.4">
      <c r="E20" s="164" t="s">
        <v>136</v>
      </c>
      <c r="F20" s="164"/>
      <c r="G20" s="164"/>
      <c r="H20" s="165">
        <f>H4-H18</f>
        <v>0</v>
      </c>
    </row>
  </sheetData>
  <hyperlinks>
    <hyperlink ref="K1" location="'Project Status'!A1" display="'Project Status'!A1" xr:uid="{C511261E-C1B4-4F9A-B7F9-781B46E9E53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1" tint="0.499984740745262"/>
  </sheetPr>
  <dimension ref="A1:K20"/>
  <sheetViews>
    <sheetView zoomScale="90" zoomScaleNormal="90" workbookViewId="0">
      <selection activeCell="H20" sqref="H20"/>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40.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20644</v>
      </c>
      <c r="B4" s="11">
        <f>VLOOKUP(A4,'Project Status'!C:D,2,FALSE)</f>
        <v>8241</v>
      </c>
      <c r="C4" s="11" t="str">
        <f>VLOOKUP(A4,'Project Status'!C:E,3,FALSE)</f>
        <v>CP_400171</v>
      </c>
      <c r="D4" s="11" t="str">
        <f>VLOOKUP(A4,'Project Status'!C:F,4,FALSE)</f>
        <v>21000 - Peabody College: Office of the Dean</v>
      </c>
      <c r="E4" s="11" t="str">
        <f>VLOOKUP(A4,'Project Status'!C:I,7,FALSE)</f>
        <v>Peabody Administration - Envelope Repairs</v>
      </c>
      <c r="F4" s="11" t="str">
        <f>VLOOKUP(A4,'Project Status'!C:J,8,FALSE)</f>
        <v>Financial Closeout</v>
      </c>
      <c r="G4" s="11" t="str">
        <f>VLOOKUP(A4,'Project Status'!C:K,9,FALSE)</f>
        <v>Ben Bedock</v>
      </c>
      <c r="H4" s="99">
        <f>VLOOKUP(A4,'Project Status'!C:M,11,FALSE)</f>
        <v>630554</v>
      </c>
      <c r="I4" s="202">
        <f>VLOOKUP(B4,'Project Status'!D:N,11,FALSE)</f>
        <v>571789</v>
      </c>
    </row>
    <row r="8" spans="1:11" x14ac:dyDescent="0.4">
      <c r="E8" s="42" t="s">
        <v>124</v>
      </c>
    </row>
    <row r="9" spans="1:11" x14ac:dyDescent="0.4">
      <c r="E9" s="22" t="s">
        <v>226</v>
      </c>
      <c r="F9" s="34" t="s">
        <v>139</v>
      </c>
      <c r="H9" s="110">
        <v>2050</v>
      </c>
    </row>
    <row r="10" spans="1:11" x14ac:dyDescent="0.4">
      <c r="E10" s="22" t="s">
        <v>254</v>
      </c>
      <c r="F10" t="s">
        <v>214</v>
      </c>
      <c r="H10" s="43">
        <v>628504</v>
      </c>
    </row>
    <row r="18" spans="5:8" x14ac:dyDescent="0.4">
      <c r="E18" s="161" t="s">
        <v>271</v>
      </c>
      <c r="F18" s="162"/>
      <c r="G18" s="161"/>
      <c r="H18" s="163">
        <f>SUM(H9:H17)</f>
        <v>630554</v>
      </c>
    </row>
    <row r="20" spans="5:8" x14ac:dyDescent="0.4">
      <c r="E20" s="164" t="s">
        <v>136</v>
      </c>
      <c r="F20" s="164"/>
      <c r="G20" s="164"/>
      <c r="H20" s="165">
        <f>H4-H18</f>
        <v>0</v>
      </c>
    </row>
  </sheetData>
  <hyperlinks>
    <hyperlink ref="K1" location="'Project Status'!A1" display="'Project Status'!A1" xr:uid="{1A0EC207-3842-436A-A75C-73A6F2FD3FAA}"/>
  </hyperlinks>
  <pageMargins left="0.7" right="0.7" top="0.75" bottom="0.75" header="0.3" footer="0.3"/>
  <pageSetup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71CB-2649-4F6C-A09D-A759B1CE48B8}">
  <sheetPr>
    <tabColor theme="1" tint="0.499984740745262"/>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42.3046875" bestFit="1" customWidth="1"/>
    <col min="6" max="6" width="32.3828125" bestFit="1" customWidth="1"/>
    <col min="7" max="7" width="11.3046875" bestFit="1" customWidth="1"/>
    <col min="8" max="8" width="16.53515625" bestFit="1" customWidth="1"/>
    <col min="9" max="9" width="13.304687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20645</v>
      </c>
      <c r="B4" s="11">
        <f>VLOOKUP(A4,'Project Status'!C:D,2,FALSE)</f>
        <v>8239</v>
      </c>
      <c r="C4" s="11">
        <f>VLOOKUP(A4,'Project Status'!C:E,3,FALSE)</f>
        <v>0</v>
      </c>
      <c r="D4" s="11" t="str">
        <f>VLOOKUP(A4,'Project Status'!C:F,4,FALSE)</f>
        <v>12000 - Arts and Science: Office of the Dean</v>
      </c>
      <c r="E4" s="11" t="str">
        <f>VLOOKUP(A4,'Project Status'!C:I,7,FALSE)</f>
        <v>Benson Old Central - Replace Soffit and Doors</v>
      </c>
      <c r="F4" s="11" t="str">
        <f>VLOOKUP(A4,'Project Status'!C:J,8,FALSE)</f>
        <v>Warranty or Construction Closeout</v>
      </c>
      <c r="G4" s="11" t="str">
        <f>VLOOKUP(A4,'Project Status'!C:K,9,FALSE)</f>
        <v>Ben Bedock</v>
      </c>
      <c r="H4" s="41">
        <f>VLOOKUP(A4,'Project Status'!C:M,11,FALSE)</f>
        <v>125875</v>
      </c>
      <c r="I4" s="202">
        <f>VLOOKUP(B4,'Project Status'!D:N,11,FALSE)</f>
        <v>114350</v>
      </c>
    </row>
    <row r="8" spans="1:11" x14ac:dyDescent="0.4">
      <c r="E8" s="42" t="s">
        <v>124</v>
      </c>
    </row>
    <row r="9" spans="1:11" x14ac:dyDescent="0.4">
      <c r="E9" t="s">
        <v>285</v>
      </c>
      <c r="F9" s="34" t="s">
        <v>139</v>
      </c>
      <c r="H9" s="43">
        <v>125875</v>
      </c>
    </row>
    <row r="13" spans="1:11" x14ac:dyDescent="0.4">
      <c r="F13" s="10"/>
      <c r="G13" s="10"/>
      <c r="H13" s="46"/>
    </row>
    <row r="18" spans="5:8" x14ac:dyDescent="0.4">
      <c r="E18" s="161" t="s">
        <v>271</v>
      </c>
      <c r="F18" s="162"/>
      <c r="G18" s="161"/>
      <c r="H18" s="163">
        <f>SUM(H9:H17)</f>
        <v>125875</v>
      </c>
    </row>
    <row r="20" spans="5:8" x14ac:dyDescent="0.4">
      <c r="E20" s="164" t="s">
        <v>136</v>
      </c>
      <c r="F20" s="164"/>
      <c r="G20" s="164"/>
      <c r="H20" s="165">
        <f>H4-H18</f>
        <v>0</v>
      </c>
    </row>
  </sheetData>
  <hyperlinks>
    <hyperlink ref="K1" location="'Project Status'!A1" display="'Project Status'!A1" xr:uid="{A5FAC7C1-1127-4CE7-9C4D-289D5BC5630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51.15234375" bestFit="1" customWidth="1"/>
    <col min="6" max="6" width="7" bestFit="1" customWidth="1"/>
    <col min="7" max="7" width="12.3046875" bestFit="1" customWidth="1"/>
    <col min="8" max="8" width="16.53515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20667</v>
      </c>
      <c r="B4" s="11">
        <f>VLOOKUP(A4,'Project Status'!C:D,2,FALSE)</f>
        <v>8168</v>
      </c>
      <c r="C4" s="11" t="str">
        <f>VLOOKUP(A4,'Project Status'!C:E,3,FALSE)</f>
        <v>CP_400160</v>
      </c>
      <c r="D4" s="11" t="str">
        <f>VLOOKUP(A4,'Project Status'!C:F,4,FALSE)</f>
        <v>15000 - Engineering: Office of the Dean</v>
      </c>
      <c r="E4" s="11" t="str">
        <f>VLOOKUP(A4,'Project Status'!C:I,7,FALSE)</f>
        <v>1025 16th Avenue - Mechanical and Electrical Upgrades</v>
      </c>
      <c r="F4" s="11" t="str">
        <f>VLOOKUP(A4,'Project Status'!C:J,8,FALSE)</f>
        <v>Design</v>
      </c>
      <c r="G4" s="11" t="str">
        <f>VLOOKUP(A4,'Project Status'!C:K,9,FALSE)</f>
        <v>Sean Rewers</v>
      </c>
      <c r="H4" s="41">
        <f>VLOOKUP(A4,'Project Status'!C:M,11,FALSE)</f>
        <v>146500</v>
      </c>
    </row>
    <row r="8" spans="1:11" x14ac:dyDescent="0.4">
      <c r="E8" s="42" t="s">
        <v>124</v>
      </c>
    </row>
    <row r="9" spans="1:11" x14ac:dyDescent="0.4">
      <c r="E9" s="22" t="s">
        <v>175</v>
      </c>
      <c r="F9" s="34" t="s">
        <v>139</v>
      </c>
      <c r="H9" s="43">
        <v>135000</v>
      </c>
    </row>
    <row r="10" spans="1:11" x14ac:dyDescent="0.4">
      <c r="E10" s="22" t="s">
        <v>233</v>
      </c>
      <c r="F10" t="s">
        <v>146</v>
      </c>
      <c r="H10" s="44">
        <v>11500</v>
      </c>
    </row>
    <row r="18" spans="5:8" x14ac:dyDescent="0.4">
      <c r="E18" s="161" t="s">
        <v>271</v>
      </c>
      <c r="F18" s="162"/>
      <c r="G18" s="161"/>
      <c r="H18" s="163">
        <f>SUM(H9:H17)</f>
        <v>146500</v>
      </c>
    </row>
    <row r="20" spans="5:8" x14ac:dyDescent="0.4">
      <c r="E20" s="164" t="s">
        <v>136</v>
      </c>
      <c r="F20" s="164"/>
      <c r="G20" s="164"/>
      <c r="H20" s="165">
        <f>H4-H18</f>
        <v>0</v>
      </c>
    </row>
  </sheetData>
  <hyperlinks>
    <hyperlink ref="K1" location="'Project Status'!A1" display="'Project Status'!A1" xr:uid="{F348F888-B7DA-42CA-B30E-EA2EAF1EAB04}"/>
  </hyperlinks>
  <pageMargins left="0.7" right="0.7" top="0.75" bottom="0.75" header="0.3" footer="0.3"/>
  <pageSetup paperSize="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29.53515625" bestFit="1" customWidth="1"/>
    <col min="6" max="6" width="7" bestFit="1" customWidth="1"/>
    <col min="7" max="7" width="12.3046875" bestFit="1" customWidth="1"/>
    <col min="8" max="8" width="16.53515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20668</v>
      </c>
      <c r="B4" s="11">
        <f>VLOOKUP(A4,'Project Status'!C:D,2,FALSE)</f>
        <v>8151</v>
      </c>
      <c r="C4" s="11" t="str">
        <f>VLOOKUP(A4,'Project Status'!C:E,3,FALSE)</f>
        <v>CP_400163</v>
      </c>
      <c r="D4" s="11" t="str">
        <f>VLOOKUP(A4,'Project Status'!C:F,4,FALSE)</f>
        <v>15000 - Engineering: Office of the Dean</v>
      </c>
      <c r="E4" s="11" t="str">
        <f>VLOOKUP(A4,'Project Status'!C:I,7,FALSE)</f>
        <v>Keck FEL - Mechanical Upgrades</v>
      </c>
      <c r="F4" s="11" t="str">
        <f>VLOOKUP(A4,'Project Status'!C:J,8,FALSE)</f>
        <v>Design</v>
      </c>
      <c r="G4" s="11" t="str">
        <f>VLOOKUP(A4,'Project Status'!C:K,9,FALSE)</f>
        <v>Sean Rewers</v>
      </c>
      <c r="H4" s="99">
        <f>VLOOKUP(A4,'Project Status'!C:M,11,FALSE)</f>
        <v>231433</v>
      </c>
    </row>
    <row r="8" spans="1:11" x14ac:dyDescent="0.4">
      <c r="E8" s="42" t="s">
        <v>124</v>
      </c>
    </row>
    <row r="9" spans="1:11" x14ac:dyDescent="0.4">
      <c r="E9" s="22" t="s">
        <v>215</v>
      </c>
      <c r="F9" s="34" t="s">
        <v>139</v>
      </c>
      <c r="H9" s="43">
        <v>195000</v>
      </c>
    </row>
    <row r="10" spans="1:11" x14ac:dyDescent="0.4">
      <c r="E10" s="22" t="s">
        <v>233</v>
      </c>
      <c r="F10" t="s">
        <v>146</v>
      </c>
      <c r="H10" s="43">
        <v>11500</v>
      </c>
    </row>
    <row r="11" spans="1:11" x14ac:dyDescent="0.4">
      <c r="E11" s="22" t="s">
        <v>356</v>
      </c>
      <c r="F11" t="s">
        <v>339</v>
      </c>
      <c r="H11" s="43">
        <v>24933</v>
      </c>
    </row>
    <row r="12" spans="1:11" x14ac:dyDescent="0.4">
      <c r="H12" s="43"/>
    </row>
    <row r="13" spans="1:11" x14ac:dyDescent="0.4">
      <c r="H13" s="43"/>
    </row>
    <row r="14" spans="1:11" x14ac:dyDescent="0.4">
      <c r="H14" s="43"/>
    </row>
    <row r="15" spans="1:11" x14ac:dyDescent="0.4">
      <c r="H15" s="43"/>
    </row>
    <row r="16" spans="1:11" x14ac:dyDescent="0.4">
      <c r="H16" s="43"/>
    </row>
    <row r="17" spans="5:8" x14ac:dyDescent="0.4">
      <c r="H17" s="43"/>
    </row>
    <row r="18" spans="5:8" x14ac:dyDescent="0.4">
      <c r="E18" s="161" t="s">
        <v>271</v>
      </c>
      <c r="F18" s="162"/>
      <c r="G18" s="161"/>
      <c r="H18" s="163">
        <f>SUM(H9:H17)</f>
        <v>231433</v>
      </c>
    </row>
    <row r="20" spans="5:8" x14ac:dyDescent="0.4">
      <c r="E20" s="164" t="s">
        <v>136</v>
      </c>
      <c r="F20" s="164"/>
      <c r="G20" s="164"/>
      <c r="H20" s="165">
        <f>H4-H18</f>
        <v>0</v>
      </c>
    </row>
  </sheetData>
  <hyperlinks>
    <hyperlink ref="K1" location="'Project Status'!A1" display="'Project Status'!A1" xr:uid="{73ABE9C2-583B-4191-9767-E1B32BE198A1}"/>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4.69140625" bestFit="1" customWidth="1"/>
    <col min="6" max="6" width="7" bestFit="1" customWidth="1"/>
    <col min="7" max="7" width="12.3046875" bestFit="1" customWidth="1"/>
    <col min="8" max="8" width="16.53515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20698</v>
      </c>
      <c r="B4" s="11">
        <f>VLOOKUP(A4,'Project Status'!C:D,2,FALSE)</f>
        <v>1138</v>
      </c>
      <c r="C4" s="11" t="str">
        <f>VLOOKUP(A4,'Project Status'!C:E,3,FALSE)</f>
        <v>CP_400168</v>
      </c>
      <c r="D4" s="11" t="str">
        <f>VLOOKUP(A4,'Project Status'!C:F,4,FALSE)</f>
        <v>12000 - Arts and Science: Office of the Dean</v>
      </c>
      <c r="E4" s="11" t="str">
        <f>VLOOKUP(A4,'Project Status'!C:I,7,FALSE)</f>
        <v>Wilson Hall - Fire Alarm Replacement</v>
      </c>
      <c r="F4" s="11" t="str">
        <f>VLOOKUP(A4,'Project Status'!C:J,8,FALSE)</f>
        <v>Award</v>
      </c>
      <c r="G4" s="11" t="str">
        <f>VLOOKUP(A4,'Project Status'!C:K,9,FALSE)</f>
        <v>Sean Rewers</v>
      </c>
      <c r="H4" s="99">
        <f>VLOOKUP(A4,'Project Status'!C:M,11,FALSE)</f>
        <v>678513</v>
      </c>
    </row>
    <row r="8" spans="1:11" x14ac:dyDescent="0.4">
      <c r="E8" s="42" t="s">
        <v>124</v>
      </c>
    </row>
    <row r="9" spans="1:11" x14ac:dyDescent="0.4">
      <c r="E9" s="22" t="s">
        <v>215</v>
      </c>
      <c r="F9" s="34" t="s">
        <v>139</v>
      </c>
      <c r="H9" s="43">
        <v>24500</v>
      </c>
    </row>
    <row r="10" spans="1:11" x14ac:dyDescent="0.4">
      <c r="E10" s="22" t="s">
        <v>215</v>
      </c>
      <c r="F10" t="s">
        <v>214</v>
      </c>
      <c r="H10" s="43">
        <v>450</v>
      </c>
    </row>
    <row r="11" spans="1:11" x14ac:dyDescent="0.4">
      <c r="E11" s="22" t="s">
        <v>285</v>
      </c>
      <c r="F11" t="s">
        <v>146</v>
      </c>
      <c r="H11" s="43">
        <v>4300</v>
      </c>
    </row>
    <row r="12" spans="1:11" x14ac:dyDescent="0.4">
      <c r="E12" s="22" t="s">
        <v>382</v>
      </c>
      <c r="F12" t="s">
        <v>339</v>
      </c>
      <c r="G12" t="s">
        <v>381</v>
      </c>
      <c r="H12" s="43">
        <v>649263</v>
      </c>
    </row>
    <row r="18" spans="5:8" x14ac:dyDescent="0.4">
      <c r="E18" s="161" t="s">
        <v>271</v>
      </c>
      <c r="F18" s="162"/>
      <c r="G18" s="161"/>
      <c r="H18" s="163">
        <f>SUM(H9:H17)</f>
        <v>678513</v>
      </c>
    </row>
    <row r="20" spans="5:8" x14ac:dyDescent="0.4">
      <c r="E20" s="164" t="s">
        <v>136</v>
      </c>
      <c r="F20" s="164"/>
      <c r="G20" s="164"/>
      <c r="H20" s="165">
        <f>H4-H18</f>
        <v>0</v>
      </c>
    </row>
  </sheetData>
  <hyperlinks>
    <hyperlink ref="K1" location="'Project Status'!A1" display="'Project Status'!A1" xr:uid="{E7834D54-DAF7-45D2-9A68-536A70719D8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sheetPr>
  <dimension ref="A1:H55"/>
  <sheetViews>
    <sheetView tabSelected="1" zoomScaleNormal="100" workbookViewId="0">
      <pane ySplit="5" topLeftCell="A46" activePane="bottomLeft" state="frozen"/>
      <selection activeCell="B2" sqref="B2"/>
      <selection pane="bottomLeft" activeCell="B2" sqref="B2"/>
    </sheetView>
  </sheetViews>
  <sheetFormatPr defaultRowHeight="14.6" x14ac:dyDescent="0.4"/>
  <cols>
    <col min="1" max="1" width="3.3046875" bestFit="1" customWidth="1"/>
    <col min="2" max="2" width="17.3828125" bestFit="1" customWidth="1"/>
    <col min="3" max="3" width="9.69140625" customWidth="1"/>
    <col min="4" max="4" width="18.3046875" bestFit="1" customWidth="1"/>
    <col min="5" max="5" width="64.3046875" bestFit="1" customWidth="1"/>
    <col min="6" max="8" width="14" style="43" customWidth="1"/>
  </cols>
  <sheetData>
    <row r="1" spans="1:8" s="8" customFormat="1" x14ac:dyDescent="0.4">
      <c r="B1" s="10" t="s">
        <v>190</v>
      </c>
      <c r="D1" s="10"/>
      <c r="F1" s="70"/>
      <c r="G1" s="70"/>
      <c r="H1" s="70"/>
    </row>
    <row r="2" spans="1:8" s="8" customFormat="1" x14ac:dyDescent="0.4">
      <c r="B2" s="93" t="s">
        <v>112</v>
      </c>
      <c r="C2" s="94">
        <v>45359</v>
      </c>
      <c r="D2" s="34"/>
      <c r="F2" s="70"/>
      <c r="G2" s="70"/>
      <c r="H2" s="70"/>
    </row>
    <row r="4" spans="1:8" x14ac:dyDescent="0.4">
      <c r="B4" s="10" t="s">
        <v>113</v>
      </c>
      <c r="C4" s="10"/>
      <c r="D4" s="10"/>
      <c r="F4" s="71" t="s">
        <v>170</v>
      </c>
      <c r="G4" s="71" t="s">
        <v>171</v>
      </c>
      <c r="H4" s="71" t="s">
        <v>171</v>
      </c>
    </row>
    <row r="5" spans="1:8" ht="43.75" x14ac:dyDescent="0.4">
      <c r="B5" s="64" t="s">
        <v>168</v>
      </c>
      <c r="C5" s="65" t="s">
        <v>167</v>
      </c>
      <c r="D5" s="64" t="s">
        <v>86</v>
      </c>
      <c r="E5" s="23" t="s">
        <v>169</v>
      </c>
      <c r="F5" s="72" t="s">
        <v>225</v>
      </c>
      <c r="G5" s="73" t="s">
        <v>347</v>
      </c>
      <c r="H5" s="126" t="s">
        <v>348</v>
      </c>
    </row>
    <row r="6" spans="1:8" x14ac:dyDescent="0.4">
      <c r="A6" s="108">
        <v>1</v>
      </c>
      <c r="B6" t="str">
        <f>VLOOKUP(C6,'Project Status'!C:J,8,FALSE)</f>
        <v>Finalized</v>
      </c>
      <c r="C6" s="60">
        <v>10085</v>
      </c>
      <c r="D6" s="26" t="str">
        <f>VLOOKUP(C6,'Project Status'!C:G,5,FALSE)</f>
        <v>Peabody</v>
      </c>
      <c r="E6" t="str">
        <f>VLOOKUP(C6,'Project Status'!C:I,7,FALSE)</f>
        <v>One Magnolia Circle - Modify/Upgrade Electrical and Grounding</v>
      </c>
      <c r="F6" s="106">
        <f>VLOOKUP(C6,'Project Status'!C:L,10,FALSE)</f>
        <v>17500</v>
      </c>
      <c r="G6" s="107">
        <f>VLOOKUP(C6,'Project Status'!C:R,16,FALSE)</f>
        <v>17500</v>
      </c>
      <c r="H6" s="127">
        <f>VLOOKUP(C6,'Project Status'!C:U,19,FALSE)</f>
        <v>0</v>
      </c>
    </row>
    <row r="7" spans="1:8" x14ac:dyDescent="0.4">
      <c r="A7" s="108">
        <f>A6+1</f>
        <v>2</v>
      </c>
      <c r="B7" t="str">
        <f>VLOOKUP(C7,'Project Status'!C:J,8,FALSE)</f>
        <v>Financial Closeout</v>
      </c>
      <c r="C7" s="60">
        <v>10098</v>
      </c>
      <c r="D7" s="26" t="str">
        <f>VLOOKUP(C7,'Project Status'!C:G,5,FALSE)</f>
        <v>SOM Basic Sciences</v>
      </c>
      <c r="E7" t="str">
        <f>VLOOKUP(C7,'Project Status'!C:I,7,FALSE)</f>
        <v>MRB III - 4th Floor - Replace Controls (Phase 2)</v>
      </c>
      <c r="F7" s="212">
        <f>VLOOKUP(C7,'Project Status'!C:L,10,FALSE)</f>
        <v>1216485.5</v>
      </c>
      <c r="G7" s="213">
        <f>VLOOKUP(C7,'Project Status'!C:R,16,FALSE)</f>
        <v>1216485.5</v>
      </c>
      <c r="H7" s="214">
        <f>VLOOKUP(C7,'Project Status'!C:U,19,FALSE)</f>
        <v>-4400.96</v>
      </c>
    </row>
    <row r="8" spans="1:8" x14ac:dyDescent="0.4">
      <c r="A8" s="108">
        <f t="shared" ref="A8:A53" si="0">A7+1</f>
        <v>3</v>
      </c>
      <c r="B8" t="str">
        <f>VLOOKUP(C8,'Project Status'!C:J,8,FALSE)</f>
        <v>Award</v>
      </c>
      <c r="C8" s="60">
        <v>10146</v>
      </c>
      <c r="D8" s="26" t="str">
        <f>VLOOKUP(C8,'Project Status'!C:G,5,FALSE)</f>
        <v>Nursing</v>
      </c>
      <c r="E8" t="str">
        <f>VLOOKUP(C8,'Project Status'!C:I,7,FALSE)</f>
        <v>Godchaux Hall - HVAC Upgrade</v>
      </c>
      <c r="F8" s="212">
        <f>VLOOKUP(C8,'Project Status'!C:L,10,FALSE)</f>
        <v>318000</v>
      </c>
      <c r="G8" s="213">
        <f>VLOOKUP(C8,'Project Status'!C:R,16,FALSE)</f>
        <v>4900</v>
      </c>
      <c r="H8" s="214">
        <f>VLOOKUP(C8,'Project Status'!C:U,19,FALSE)</f>
        <v>255957</v>
      </c>
    </row>
    <row r="9" spans="1:8" x14ac:dyDescent="0.4">
      <c r="A9" s="108">
        <f t="shared" si="0"/>
        <v>4</v>
      </c>
      <c r="B9" t="str">
        <f>VLOOKUP(C9,'Project Status'!C:J,8,FALSE)</f>
        <v>Warranty or Construction Closeout</v>
      </c>
      <c r="C9" s="60">
        <v>20179</v>
      </c>
      <c r="D9" s="26" t="str">
        <f>VLOOKUP(C9,'Project Status'!C:G,5,FALSE)</f>
        <v>Law</v>
      </c>
      <c r="E9" t="str">
        <f>VLOOKUP(C9,'Project Status'!C:I,7,FALSE)</f>
        <v>Law School - Fire Alarm System Replacement</v>
      </c>
      <c r="F9" s="212">
        <f>VLOOKUP(C9,'Project Status'!C:L,10,FALSE)</f>
        <v>1445389</v>
      </c>
      <c r="G9" s="213">
        <f>VLOOKUP(C9,'Project Status'!C:R,16,FALSE)</f>
        <v>722694.5</v>
      </c>
      <c r="H9" s="214">
        <f>VLOOKUP(C9,'Project Status'!C:U,19,FALSE)</f>
        <v>0</v>
      </c>
    </row>
    <row r="10" spans="1:8" x14ac:dyDescent="0.4">
      <c r="A10" s="108">
        <f t="shared" si="0"/>
        <v>5</v>
      </c>
      <c r="B10" t="str">
        <f>VLOOKUP(C10,'Project Status'!C:J,8,FALSE)</f>
        <v>Financial Closeout</v>
      </c>
      <c r="C10" s="60">
        <v>20336</v>
      </c>
      <c r="D10" s="26" t="str">
        <f>VLOOKUP(C10,'Project Status'!C:G,5,FALSE)</f>
        <v>Blair</v>
      </c>
      <c r="E10" t="str">
        <f>VLOOKUP(C10,'Project Status'!C:I,7,FALSE)</f>
        <v>Blair School of Music - Elevator #3 Modernization</v>
      </c>
      <c r="F10" s="212">
        <f>VLOOKUP(C10,'Project Status'!C:L,10,FALSE)</f>
        <v>327890</v>
      </c>
      <c r="G10" s="213">
        <f>VLOOKUP(C10,'Project Status'!C:R,16,FALSE)</f>
        <v>327890</v>
      </c>
      <c r="H10" s="214">
        <f>VLOOKUP(C10,'Project Status'!C:U,19,FALSE)</f>
        <v>0</v>
      </c>
    </row>
    <row r="11" spans="1:8" x14ac:dyDescent="0.4">
      <c r="A11" s="108">
        <f t="shared" si="0"/>
        <v>6</v>
      </c>
      <c r="B11" t="str">
        <f>VLOOKUP(C11,'Project Status'!C:J,8,FALSE)</f>
        <v>Construction</v>
      </c>
      <c r="C11" s="60">
        <v>20431</v>
      </c>
      <c r="D11" s="26" t="str">
        <f>VLOOKUP(C11,'Project Status'!C:G,5,FALSE)</f>
        <v>Divinity</v>
      </c>
      <c r="E11" t="str">
        <f>VLOOKUP(C11,'Project Status'!C:I,7,FALSE)</f>
        <v>Divinity Air Handling Unit Replacement, (5/6)- Phase 1</v>
      </c>
      <c r="F11" s="212">
        <f>VLOOKUP(C11,'Project Status'!C:L,10,FALSE)</f>
        <v>3800000</v>
      </c>
      <c r="G11" s="213">
        <f>VLOOKUP(C11,'Project Status'!C:R,16,FALSE)</f>
        <v>69862.5</v>
      </c>
      <c r="H11" s="214">
        <f>VLOOKUP(C11,'Project Status'!C:U,19,FALSE)</f>
        <v>3660360</v>
      </c>
    </row>
    <row r="12" spans="1:8" x14ac:dyDescent="0.4">
      <c r="A12" s="108">
        <f t="shared" si="0"/>
        <v>7</v>
      </c>
      <c r="B12" t="str">
        <f>VLOOKUP(C12,'Project Status'!C:J,8,FALSE)</f>
        <v>Warranty or Construction Closeout</v>
      </c>
      <c r="C12" s="60">
        <v>20478</v>
      </c>
      <c r="D12" s="26" t="str">
        <f>VLOOKUP(C12,'Project Status'!C:G,5,FALSE)</f>
        <v>Arts &amp; Science</v>
      </c>
      <c r="E12" t="str">
        <f>VLOOKUP(C12,'Project Status'!C:I,7,FALSE)</f>
        <v>Bryan Building - Swing Space Renovation - A&amp;S Planning</v>
      </c>
      <c r="F12" s="212">
        <f>VLOOKUP(C12,'Project Status'!C:L,10,FALSE)</f>
        <v>2790000</v>
      </c>
      <c r="G12" s="213">
        <f>VLOOKUP(C12,'Project Status'!C:R,16,FALSE)</f>
        <v>81100</v>
      </c>
      <c r="H12" s="214">
        <f>VLOOKUP(C12,'Project Status'!C:U,19,FALSE)</f>
        <v>1028900</v>
      </c>
    </row>
    <row r="13" spans="1:8" x14ac:dyDescent="0.4">
      <c r="A13" s="108">
        <f t="shared" si="0"/>
        <v>8</v>
      </c>
      <c r="B13" t="str">
        <f>VLOOKUP(C13,'Project Status'!C:J,8,FALSE)</f>
        <v>Not Started</v>
      </c>
      <c r="C13" s="60">
        <v>20489</v>
      </c>
      <c r="D13" s="26" t="str">
        <f>VLOOKUP(C13,'Project Status'!C:G,5,FALSE)</f>
        <v>Divinity</v>
      </c>
      <c r="E13" t="str">
        <f>VLOOKUP(C13,'Project Status'!C:I,7,FALSE)</f>
        <v>Divinity Air Handling Unit Replacement, (1/3) - Phase 2 with Benton</v>
      </c>
      <c r="F13" s="212">
        <f>VLOOKUP(C13,'Project Status'!C:L,10,FALSE)</f>
        <v>4650000</v>
      </c>
      <c r="G13" s="213">
        <f>VLOOKUP(C13,'Project Status'!C:R,16,FALSE)</f>
        <v>26500</v>
      </c>
      <c r="H13" s="214">
        <f>VLOOKUP(C13,'Project Status'!C:U,19,FALSE)</f>
        <v>0</v>
      </c>
    </row>
    <row r="14" spans="1:8" x14ac:dyDescent="0.4">
      <c r="A14" s="108">
        <f t="shared" si="0"/>
        <v>9</v>
      </c>
      <c r="B14" t="str">
        <f>VLOOKUP(C14,'Project Status'!C:J,8,FALSE)</f>
        <v>Finalized</v>
      </c>
      <c r="C14" s="60">
        <v>20497</v>
      </c>
      <c r="D14" s="26" t="str">
        <f>VLOOKUP(C14,'Project Status'!C:G,5,FALSE)</f>
        <v>Peabody</v>
      </c>
      <c r="E14" t="str">
        <f>VLOOKUP(C14,'Project Status'!C:I,7,FALSE)</f>
        <v>Jesup - Roof Replacement</v>
      </c>
      <c r="F14" s="212">
        <f>VLOOKUP(C14,'Project Status'!C:L,10,FALSE)</f>
        <v>456850</v>
      </c>
      <c r="G14" s="213">
        <f>VLOOKUP(C14,'Project Status'!C:R,16,FALSE)</f>
        <v>79415.5</v>
      </c>
      <c r="H14" s="214">
        <f>VLOOKUP(C14,'Project Status'!C:U,19,FALSE)</f>
        <v>-44850</v>
      </c>
    </row>
    <row r="15" spans="1:8" x14ac:dyDescent="0.4">
      <c r="A15" s="108">
        <f t="shared" si="0"/>
        <v>10</v>
      </c>
      <c r="B15" t="str">
        <f>VLOOKUP(C15,'Project Status'!C:J,8,FALSE)</f>
        <v>Finalized</v>
      </c>
      <c r="C15" s="60">
        <v>20506</v>
      </c>
      <c r="D15" s="26" t="str">
        <f>VLOOKUP(C15,'Project Status'!C:G,5,FALSE)</f>
        <v>Peabody</v>
      </c>
      <c r="E15" t="str">
        <f>VLOOKUP(C15,'Project Status'!C:I,7,FALSE)</f>
        <v>Wyatt Center - Window Replacement</v>
      </c>
      <c r="F15" s="212">
        <f>VLOOKUP(C15,'Project Status'!C:L,10,FALSE)</f>
        <v>344155.26</v>
      </c>
      <c r="G15" s="213">
        <f>VLOOKUP(C15,'Project Status'!C:R,16,FALSE)</f>
        <v>344155.26</v>
      </c>
      <c r="H15" s="214">
        <f>VLOOKUP(C15,'Project Status'!C:U,19,FALSE)</f>
        <v>-36379</v>
      </c>
    </row>
    <row r="16" spans="1:8" x14ac:dyDescent="0.4">
      <c r="A16" s="108">
        <f t="shared" si="0"/>
        <v>11</v>
      </c>
      <c r="B16" t="str">
        <f>VLOOKUP(C16,'Project Status'!C:J,8,FALSE)</f>
        <v>Financial Closeout</v>
      </c>
      <c r="C16" s="60">
        <v>20562</v>
      </c>
      <c r="D16" s="26" t="str">
        <f>VLOOKUP(C16,'Project Status'!C:G,5,FALSE)</f>
        <v>Peabody</v>
      </c>
      <c r="E16" t="str">
        <f>VLOOKUP(C16,'Project Status'!C:I,7,FALSE)</f>
        <v>Wyatt Center - VAV Replacement</v>
      </c>
      <c r="F16" s="212">
        <f>VLOOKUP(C16,'Project Status'!C:L,10,FALSE)</f>
        <v>400000</v>
      </c>
      <c r="G16" s="213">
        <f>VLOOKUP(C16,'Project Status'!C:R,16,FALSE)</f>
        <v>405791</v>
      </c>
      <c r="H16" s="214">
        <f>VLOOKUP(C16,'Project Status'!C:U,19,FALSE)</f>
        <v>0</v>
      </c>
    </row>
    <row r="17" spans="1:8" x14ac:dyDescent="0.4">
      <c r="A17" s="108">
        <f t="shared" si="0"/>
        <v>12</v>
      </c>
      <c r="B17" t="str">
        <f>VLOOKUP(C17,'Project Status'!C:J,8,FALSE)</f>
        <v>Not Started</v>
      </c>
      <c r="C17" s="60">
        <v>20563</v>
      </c>
      <c r="D17" s="26" t="str">
        <f>VLOOKUP(C17,'Project Status'!C:G,5,FALSE)</f>
        <v>Engineering</v>
      </c>
      <c r="E17" t="str">
        <f>VLOOKUP(C17,'Project Status'!C:I,7,FALSE)</f>
        <v>Keck FEL - Roof Replacement</v>
      </c>
      <c r="F17" s="212">
        <f>VLOOKUP(C17,'Project Status'!C:L,10,FALSE)</f>
        <v>386000</v>
      </c>
      <c r="G17" s="213">
        <f>VLOOKUP(C17,'Project Status'!C:R,16,FALSE)</f>
        <v>0</v>
      </c>
      <c r="H17" s="214">
        <f>VLOOKUP(C17,'Project Status'!C:U,19,FALSE)</f>
        <v>0</v>
      </c>
    </row>
    <row r="18" spans="1:8" x14ac:dyDescent="0.4">
      <c r="A18" s="108">
        <f t="shared" si="0"/>
        <v>13</v>
      </c>
      <c r="B18" t="str">
        <f>VLOOKUP(C18,'Project Status'!C:J,8,FALSE)</f>
        <v>Financial Closeout</v>
      </c>
      <c r="C18" s="60">
        <v>20566</v>
      </c>
      <c r="D18" s="26" t="str">
        <f>VLOOKUP(C18,'Project Status'!C:G,5,FALSE)</f>
        <v>Arts &amp; Science</v>
      </c>
      <c r="E18" t="str">
        <f>VLOOKUP(C18,'Project Status'!C:I,7,FALSE)</f>
        <v>SC Chemistry (SC7) - Elevator 1 &amp; 2 Modernization</v>
      </c>
      <c r="F18" s="212">
        <f>VLOOKUP(C18,'Project Status'!C:L,10,FALSE)</f>
        <v>781870</v>
      </c>
      <c r="G18" s="213">
        <f>VLOOKUP(C18,'Project Status'!C:R,16,FALSE)</f>
        <v>781870</v>
      </c>
      <c r="H18" s="214">
        <f>VLOOKUP(C18,'Project Status'!C:U,19,FALSE)</f>
        <v>-59283.32</v>
      </c>
    </row>
    <row r="19" spans="1:8" x14ac:dyDescent="0.4">
      <c r="A19" s="108">
        <f t="shared" si="0"/>
        <v>14</v>
      </c>
      <c r="B19" t="str">
        <f>VLOOKUP(C19,'Project Status'!C:J,8,FALSE)</f>
        <v>Financial Closeout</v>
      </c>
      <c r="C19" s="60">
        <v>20573</v>
      </c>
      <c r="D19" s="26" t="str">
        <f>VLOOKUP(C19,'Project Status'!C:G,5,FALSE)</f>
        <v>Peabody</v>
      </c>
      <c r="E19" t="str">
        <f>VLOOKUP(C19,'Project Status'!C:I,7,FALSE)</f>
        <v>Wyatt Center - Roof Replacement</v>
      </c>
      <c r="F19" s="212">
        <f>VLOOKUP(C19,'Project Status'!C:L,10,FALSE)</f>
        <v>1232681</v>
      </c>
      <c r="G19" s="213">
        <f>VLOOKUP(C19,'Project Status'!C:R,16,FALSE)</f>
        <v>1232681</v>
      </c>
      <c r="H19" s="214">
        <f>VLOOKUP(C19,'Project Status'!C:U,19,FALSE)</f>
        <v>0</v>
      </c>
    </row>
    <row r="20" spans="1:8" x14ac:dyDescent="0.4">
      <c r="A20" s="108">
        <f t="shared" si="0"/>
        <v>15</v>
      </c>
      <c r="B20" t="str">
        <f>VLOOKUP(C20,'Project Status'!C:J,8,FALSE)</f>
        <v>Financial Closeout</v>
      </c>
      <c r="C20" s="60">
        <v>20574</v>
      </c>
      <c r="D20" s="26" t="str">
        <f>VLOOKUP(C20,'Project Status'!C:G,5,FALSE)</f>
        <v>SOM Basic Sciences</v>
      </c>
      <c r="E20" t="str">
        <f>VLOOKUP(C20,'Project Status'!C:I,7,FALSE)</f>
        <v>MRB III - Steam Coil Replacement</v>
      </c>
      <c r="F20" s="212">
        <f>VLOOKUP(C20,'Project Status'!C:L,10,FALSE)</f>
        <v>218202</v>
      </c>
      <c r="G20" s="213">
        <f>VLOOKUP(C20,'Project Status'!C:R,16,FALSE)</f>
        <v>218202</v>
      </c>
      <c r="H20" s="214">
        <f>VLOOKUP(C20,'Project Status'!C:U,19,FALSE)</f>
        <v>0</v>
      </c>
    </row>
    <row r="21" spans="1:8" x14ac:dyDescent="0.4">
      <c r="A21" s="108">
        <f t="shared" si="0"/>
        <v>16</v>
      </c>
      <c r="B21" t="str">
        <f>VLOOKUP(C21,'Project Status'!C:J,8,FALSE)</f>
        <v>Bidding</v>
      </c>
      <c r="C21" s="60">
        <v>20577</v>
      </c>
      <c r="D21" s="26" t="str">
        <f>VLOOKUP(C21,'Project Status'!C:G,5,FALSE)</f>
        <v>Blair</v>
      </c>
      <c r="E21" t="str">
        <f>VLOOKUP(C21,'Project Status'!C:I,7,FALSE)</f>
        <v>Blair School of Music - Air Handling Unit Replacement -Phase 1</v>
      </c>
      <c r="F21" s="212">
        <f>VLOOKUP(C21,'Project Status'!C:L,10,FALSE)</f>
        <v>1500000</v>
      </c>
      <c r="G21" s="213">
        <f>VLOOKUP(C21,'Project Status'!C:R,16,FALSE)</f>
        <v>223000</v>
      </c>
      <c r="H21" s="214">
        <f>VLOOKUP(C21,'Project Status'!C:U,19,FALSE)</f>
        <v>0</v>
      </c>
    </row>
    <row r="22" spans="1:8" x14ac:dyDescent="0.4">
      <c r="A22" s="108">
        <f t="shared" si="0"/>
        <v>17</v>
      </c>
      <c r="B22" t="str">
        <f>VLOOKUP(C22,'Project Status'!C:J,8,FALSE)</f>
        <v>Financial Closeout</v>
      </c>
      <c r="C22" s="60">
        <v>20644</v>
      </c>
      <c r="D22" s="26" t="str">
        <f>VLOOKUP(C22,'Project Status'!C:G,5,FALSE)</f>
        <v>Peabody</v>
      </c>
      <c r="E22" t="str">
        <f>VLOOKUP(C22,'Project Status'!C:I,7,FALSE)</f>
        <v>Peabody Administration - Envelope Repairs</v>
      </c>
      <c r="F22" s="212">
        <f>VLOOKUP(C22,'Project Status'!C:L,10,FALSE)</f>
        <v>630554</v>
      </c>
      <c r="G22" s="213">
        <f>VLOOKUP(C22,'Project Status'!C:R,16,FALSE)</f>
        <v>630554</v>
      </c>
      <c r="H22" s="214">
        <f>VLOOKUP(C22,'Project Status'!C:U,19,FALSE)</f>
        <v>0</v>
      </c>
    </row>
    <row r="23" spans="1:8" x14ac:dyDescent="0.4">
      <c r="A23" s="108">
        <f t="shared" si="0"/>
        <v>18</v>
      </c>
      <c r="B23" t="str">
        <f>VLOOKUP(C23,'Project Status'!C:J,8,FALSE)</f>
        <v>Warranty or Construction Closeout</v>
      </c>
      <c r="C23" s="60">
        <v>20645</v>
      </c>
      <c r="D23" s="26" t="str">
        <f>VLOOKUP(C23,'Project Status'!C:G,5,FALSE)</f>
        <v>Arts &amp; Science</v>
      </c>
      <c r="E23" t="str">
        <f>VLOOKUP(C23,'Project Status'!C:I,7,FALSE)</f>
        <v>Benson Old Central - Replace Soffit and Doors</v>
      </c>
      <c r="F23" s="212">
        <f>VLOOKUP(C23,'Project Status'!C:L,10,FALSE)</f>
        <v>125875</v>
      </c>
      <c r="G23" s="213">
        <f>VLOOKUP(C23,'Project Status'!C:R,16,FALSE)</f>
        <v>125875</v>
      </c>
      <c r="H23" s="214">
        <f>VLOOKUP(C23,'Project Status'!C:U,19,FALSE)</f>
        <v>0</v>
      </c>
    </row>
    <row r="24" spans="1:8" x14ac:dyDescent="0.4">
      <c r="A24" s="108">
        <f t="shared" si="0"/>
        <v>19</v>
      </c>
      <c r="B24" t="str">
        <f>VLOOKUP(C24,'Project Status'!C:J,8,FALSE)</f>
        <v>Design</v>
      </c>
      <c r="C24" s="60">
        <v>20667</v>
      </c>
      <c r="D24" s="26" t="str">
        <f>VLOOKUP(C24,'Project Status'!C:G,5,FALSE)</f>
        <v>Engineering</v>
      </c>
      <c r="E24" t="str">
        <f>VLOOKUP(C24,'Project Status'!C:I,7,FALSE)</f>
        <v>1025 16th Avenue - Mechanical and Electrical Upgrades</v>
      </c>
      <c r="F24" s="212">
        <f>VLOOKUP(C24,'Project Status'!C:L,10,FALSE)</f>
        <v>2000000</v>
      </c>
      <c r="G24" s="213">
        <f>VLOOKUP(C24,'Project Status'!C:R,16,FALSE)</f>
        <v>146500</v>
      </c>
      <c r="H24" s="214">
        <f>VLOOKUP(C24,'Project Status'!C:U,19,FALSE)</f>
        <v>2000000</v>
      </c>
    </row>
    <row r="25" spans="1:8" x14ac:dyDescent="0.4">
      <c r="A25" s="108">
        <f t="shared" si="0"/>
        <v>20</v>
      </c>
      <c r="B25" t="str">
        <f>VLOOKUP(C25,'Project Status'!C:J,8,FALSE)</f>
        <v>Design</v>
      </c>
      <c r="C25" s="60">
        <v>20668</v>
      </c>
      <c r="D25" s="26" t="str">
        <f>VLOOKUP(C25,'Project Status'!C:G,5,FALSE)</f>
        <v>Engineering</v>
      </c>
      <c r="E25" t="str">
        <f>VLOOKUP(C25,'Project Status'!C:I,7,FALSE)</f>
        <v>Keck FEL - Mechanical Upgrades</v>
      </c>
      <c r="F25" s="212">
        <f>VLOOKUP(C25,'Project Status'!C:L,10,FALSE)</f>
        <v>0</v>
      </c>
      <c r="G25" s="213">
        <f>VLOOKUP(C25,'Project Status'!C:R,16,FALSE)</f>
        <v>206500</v>
      </c>
      <c r="H25" s="214">
        <f>VLOOKUP(C25,'Project Status'!C:U,19,FALSE)</f>
        <v>24933</v>
      </c>
    </row>
    <row r="26" spans="1:8" x14ac:dyDescent="0.4">
      <c r="A26" s="108">
        <f t="shared" si="0"/>
        <v>21</v>
      </c>
      <c r="B26" t="str">
        <f>VLOOKUP(C26,'Project Status'!C:J,8,FALSE)</f>
        <v>Award</v>
      </c>
      <c r="C26" s="60">
        <v>20698</v>
      </c>
      <c r="D26" s="26" t="str">
        <f>VLOOKUP(C26,'Project Status'!C:G,5,FALSE)</f>
        <v>Arts &amp; Science</v>
      </c>
      <c r="E26" t="str">
        <f>VLOOKUP(C26,'Project Status'!C:I,7,FALSE)</f>
        <v>Wilson Hall - Fire Alarm Replacement</v>
      </c>
      <c r="F26" s="212">
        <f>VLOOKUP(C26,'Project Status'!C:L,10,FALSE)</f>
        <v>680000</v>
      </c>
      <c r="G26" s="213">
        <f>VLOOKUP(C26,'Project Status'!C:R,16,FALSE)</f>
        <v>29250</v>
      </c>
      <c r="H26" s="214">
        <f>VLOOKUP(C26,'Project Status'!C:U,19,FALSE)</f>
        <v>649263</v>
      </c>
    </row>
    <row r="27" spans="1:8" x14ac:dyDescent="0.4">
      <c r="A27" s="108">
        <f t="shared" si="0"/>
        <v>22</v>
      </c>
      <c r="B27" t="str">
        <f>VLOOKUP(C27,'Project Status'!C:J,8,FALSE)</f>
        <v>Financial Closeout</v>
      </c>
      <c r="C27" s="60">
        <v>20700</v>
      </c>
      <c r="D27" s="26" t="str">
        <f>VLOOKUP(C27,'Project Status'!C:G,5,FALSE)</f>
        <v>Arts &amp; Science</v>
      </c>
      <c r="E27" t="str">
        <f>VLOOKUP(C27,'Project Status'!C:I,7,FALSE)</f>
        <v>SC-7 Chemistry - SG-1 Removal and Connection to Central Plant Steam</v>
      </c>
      <c r="F27" s="212">
        <f>VLOOKUP(C27,'Project Status'!C:L,10,FALSE)</f>
        <v>80000</v>
      </c>
      <c r="G27" s="213">
        <f>VLOOKUP(C27,'Project Status'!C:R,16,FALSE)</f>
        <v>79623</v>
      </c>
      <c r="H27" s="214">
        <f>VLOOKUP(C27,'Project Status'!C:U,19,FALSE)</f>
        <v>5954</v>
      </c>
    </row>
    <row r="28" spans="1:8" x14ac:dyDescent="0.4">
      <c r="A28" s="108">
        <f t="shared" si="0"/>
        <v>23</v>
      </c>
      <c r="B28" t="str">
        <f>VLOOKUP(C28,'Project Status'!C:J,8,FALSE)</f>
        <v>Design</v>
      </c>
      <c r="C28" s="60">
        <v>20701</v>
      </c>
      <c r="D28" s="26" t="str">
        <f>VLOOKUP(C28,'Project Status'!C:G,5,FALSE)</f>
        <v>Arts &amp; Science</v>
      </c>
      <c r="E28" t="str">
        <f>VLOOKUP(C28,'Project Status'!C:I,7,FALSE)</f>
        <v>SC-5 - Chemical Discharge Replacement</v>
      </c>
      <c r="F28" s="212">
        <f>VLOOKUP(C28,'Project Status'!C:L,10,FALSE)</f>
        <v>500000</v>
      </c>
      <c r="G28" s="213">
        <f>VLOOKUP(C28,'Project Status'!C:R,16,FALSE)</f>
        <v>499093</v>
      </c>
      <c r="H28" s="214">
        <f>VLOOKUP(C28,'Project Status'!C:U,19,FALSE)</f>
        <v>0</v>
      </c>
    </row>
    <row r="29" spans="1:8" x14ac:dyDescent="0.4">
      <c r="A29" s="108">
        <f t="shared" si="0"/>
        <v>24</v>
      </c>
      <c r="B29" t="str">
        <f>VLOOKUP(C29,'Project Status'!C:J,8,FALSE)</f>
        <v>Financial Closeout</v>
      </c>
      <c r="C29" s="60">
        <v>20702</v>
      </c>
      <c r="D29" s="26" t="str">
        <f>VLOOKUP(C29,'Project Status'!C:G,5,FALSE)</f>
        <v>Peabody</v>
      </c>
      <c r="E29" t="str">
        <f>VLOOKUP(C29,'Project Status'!C:I,7,FALSE)</f>
        <v>Wyatt Center - Elevator #2 Modernization</v>
      </c>
      <c r="F29" s="212">
        <f>VLOOKUP(C29,'Project Status'!C:L,10,FALSE)</f>
        <v>225791</v>
      </c>
      <c r="G29" s="213">
        <f>VLOOKUP(C29,'Project Status'!C:R,16,FALSE)</f>
        <v>239341</v>
      </c>
      <c r="H29" s="214">
        <f>VLOOKUP(C29,'Project Status'!C:U,19,FALSE)</f>
        <v>-29922</v>
      </c>
    </row>
    <row r="30" spans="1:8" x14ac:dyDescent="0.4">
      <c r="A30" s="108">
        <f t="shared" si="0"/>
        <v>25</v>
      </c>
      <c r="B30" t="str">
        <f>VLOOKUP(C30,'Project Status'!C:J,8,FALSE)</f>
        <v>Financial Closeout</v>
      </c>
      <c r="C30" s="60">
        <v>20718</v>
      </c>
      <c r="D30" s="26" t="str">
        <f>VLOOKUP(C30,'Project Status'!C:G,5,FALSE)</f>
        <v>Arts &amp; Science</v>
      </c>
      <c r="E30" t="str">
        <f>VLOOKUP(C30,'Project Status'!C:I,7,FALSE)</f>
        <v>Buttrick Hall - 3rd Floor Inequality Renovations</v>
      </c>
      <c r="F30" s="212">
        <f>VLOOKUP(C30,'Project Status'!C:L,10,FALSE)</f>
        <v>715000</v>
      </c>
      <c r="G30" s="213">
        <f>VLOOKUP(C30,'Project Status'!C:R,16,FALSE)</f>
        <v>96166</v>
      </c>
      <c r="H30" s="214">
        <f>VLOOKUP(C30,'Project Status'!C:U,19,FALSE)</f>
        <v>0</v>
      </c>
    </row>
    <row r="31" spans="1:8" x14ac:dyDescent="0.4">
      <c r="A31" s="108">
        <f t="shared" si="0"/>
        <v>26</v>
      </c>
      <c r="B31" t="str">
        <f>VLOOKUP(C31,'Project Status'!C:J,8,FALSE)</f>
        <v>Award</v>
      </c>
      <c r="C31" s="60">
        <v>20723</v>
      </c>
      <c r="D31" s="26" t="str">
        <f>VLOOKUP(C31,'Project Status'!C:G,5,FALSE)</f>
        <v>SOM Basic Sciences</v>
      </c>
      <c r="E31" t="str">
        <f>VLOOKUP(C31,'Project Status'!C:I,7,FALSE)</f>
        <v>MRB III - 9th Floor (with 4 ,5 &amp; 8) - Replace Controls (Phase 3)</v>
      </c>
      <c r="F31" s="212">
        <f>VLOOKUP(C31,'Project Status'!C:L,10,FALSE)</f>
        <v>1610000</v>
      </c>
      <c r="G31" s="213">
        <f>VLOOKUP(C31,'Project Status'!C:R,16,FALSE)</f>
        <v>160500</v>
      </c>
      <c r="H31" s="214">
        <f>VLOOKUP(C31,'Project Status'!C:U,19,FALSE)</f>
        <v>0</v>
      </c>
    </row>
    <row r="32" spans="1:8" x14ac:dyDescent="0.4">
      <c r="A32" s="108">
        <f t="shared" si="0"/>
        <v>27</v>
      </c>
      <c r="B32" t="str">
        <f>VLOOKUP(C32,'Project Status'!C:J,8,FALSE)</f>
        <v>Construction</v>
      </c>
      <c r="C32" s="60">
        <v>20724</v>
      </c>
      <c r="D32" s="26" t="str">
        <f>VLOOKUP(C32,'Project Status'!C:G,5,FALSE)</f>
        <v>Blair</v>
      </c>
      <c r="E32" t="str">
        <f>VLOOKUP(C32,'Project Status'!C:I,7,FALSE)</f>
        <v>Blair School of Music - Steam Line</v>
      </c>
      <c r="F32" s="212">
        <f>VLOOKUP(C32,'Project Status'!C:L,10,FALSE)</f>
        <v>1987500</v>
      </c>
      <c r="G32" s="213">
        <f>VLOOKUP(C32,'Project Status'!C:R,16,FALSE)</f>
        <v>23400</v>
      </c>
      <c r="H32" s="214">
        <f>VLOOKUP(C32,'Project Status'!C:U,19,FALSE)</f>
        <v>1964100</v>
      </c>
    </row>
    <row r="33" spans="1:8" x14ac:dyDescent="0.4">
      <c r="A33" s="108">
        <f t="shared" si="0"/>
        <v>28</v>
      </c>
      <c r="B33" t="str">
        <f>VLOOKUP(C33,'Project Status'!C:J,8,FALSE)</f>
        <v>Warranty or Construction Closeout</v>
      </c>
      <c r="C33" s="60">
        <v>20735</v>
      </c>
      <c r="D33" s="26" t="str">
        <f>VLOOKUP(C33,'Project Status'!C:G,5,FALSE)</f>
        <v>Owen</v>
      </c>
      <c r="E33" t="str">
        <f>VLOOKUP(C33,'Project Status'!C:I,7,FALSE)</f>
        <v>Owen - Roof Replacement (Third Level)</v>
      </c>
      <c r="F33" s="212">
        <f>VLOOKUP(C33,'Project Status'!C:L,10,FALSE)</f>
        <v>300000</v>
      </c>
      <c r="G33" s="213">
        <f>VLOOKUP(C33,'Project Status'!C:R,16,FALSE)</f>
        <v>300000</v>
      </c>
      <c r="H33" s="214">
        <f>VLOOKUP(C33,'Project Status'!C:U,19,FALSE)</f>
        <v>0</v>
      </c>
    </row>
    <row r="34" spans="1:8" x14ac:dyDescent="0.4">
      <c r="A34" s="108">
        <f t="shared" si="0"/>
        <v>29</v>
      </c>
      <c r="B34" t="str">
        <f>VLOOKUP(C34,'Project Status'!C:J,8,FALSE)</f>
        <v>Bidding</v>
      </c>
      <c r="C34" s="60">
        <v>20767</v>
      </c>
      <c r="D34" s="26" t="str">
        <f>VLOOKUP(C34,'Project Status'!C:G,5,FALSE)</f>
        <v>Peabody</v>
      </c>
      <c r="E34" t="str">
        <f>VLOOKUP(C34,'Project Status'!C:I,7,FALSE)</f>
        <v>Six Magnolia Circle - Foundation Repairs</v>
      </c>
      <c r="F34" s="212">
        <f>VLOOKUP(C34,'Project Status'!C:L,10,FALSE)</f>
        <v>81000</v>
      </c>
      <c r="G34" s="213">
        <f>VLOOKUP(C34,'Project Status'!C:R,16,FALSE)</f>
        <v>0</v>
      </c>
      <c r="H34" s="214">
        <f>VLOOKUP(C34,'Project Status'!C:U,19,FALSE)</f>
        <v>0</v>
      </c>
    </row>
    <row r="35" spans="1:8" x14ac:dyDescent="0.4">
      <c r="A35" s="108">
        <f t="shared" si="0"/>
        <v>30</v>
      </c>
      <c r="B35" t="str">
        <f>VLOOKUP(C35,'Project Status'!C:J,8,FALSE)</f>
        <v>Finalized</v>
      </c>
      <c r="C35" s="60">
        <v>20771</v>
      </c>
      <c r="D35" s="26" t="str">
        <f>VLOOKUP(C35,'Project Status'!C:G,5,FALSE)</f>
        <v>Arts &amp; Science</v>
      </c>
      <c r="E35" t="str">
        <f>VLOOKUP(C35,'Project Status'!C:I,7,FALSE)</f>
        <v>SC4 - Interstitial Space HVAC Modifications</v>
      </c>
      <c r="F35" s="212">
        <f>VLOOKUP(C35,'Project Status'!C:L,10,FALSE)</f>
        <v>25000</v>
      </c>
      <c r="G35" s="213">
        <f>VLOOKUP(C35,'Project Status'!C:R,16,FALSE)</f>
        <v>24997</v>
      </c>
      <c r="H35" s="214">
        <f>VLOOKUP(C35,'Project Status'!C:U,19,FALSE)</f>
        <v>-7025</v>
      </c>
    </row>
    <row r="36" spans="1:8" x14ac:dyDescent="0.4">
      <c r="A36" s="108">
        <f t="shared" si="0"/>
        <v>31</v>
      </c>
      <c r="B36" t="str">
        <f>VLOOKUP(C36,'Project Status'!C:J,8,FALSE)</f>
        <v>Award</v>
      </c>
      <c r="C36" s="60">
        <v>20772</v>
      </c>
      <c r="D36" s="26" t="str">
        <f>VLOOKUP(C36,'Project Status'!C:G,5,FALSE)</f>
        <v>Owen</v>
      </c>
      <c r="E36" t="str">
        <f>VLOOKUP(C36,'Project Status'!C:I,7,FALSE)</f>
        <v>OGSM Old Mechanical- Slate Roof &amp; Window Replacement</v>
      </c>
      <c r="F36" s="212">
        <f>VLOOKUP(C36,'Project Status'!C:L,10,FALSE)</f>
        <v>3200000</v>
      </c>
      <c r="G36" s="213">
        <f>VLOOKUP(C36,'Project Status'!C:R,16,FALSE)</f>
        <v>0</v>
      </c>
      <c r="H36" s="214">
        <f>VLOOKUP(C36,'Project Status'!C:U,19,FALSE)</f>
        <v>0</v>
      </c>
    </row>
    <row r="37" spans="1:8" x14ac:dyDescent="0.4">
      <c r="A37" s="108">
        <f t="shared" si="0"/>
        <v>32</v>
      </c>
      <c r="B37" t="str">
        <f>VLOOKUP(C37,'Project Status'!C:J,8,FALSE)</f>
        <v>Financial Closeout</v>
      </c>
      <c r="C37" s="60">
        <v>20792</v>
      </c>
      <c r="D37" s="26" t="str">
        <f>VLOOKUP(C37,'Project Status'!C:G,5,FALSE)</f>
        <v>Law</v>
      </c>
      <c r="E37" t="str">
        <f>VLOOKUP(C37,'Project Status'!C:I,7,FALSE)</f>
        <v>Law School - Sections 1, 2, &amp; 3  Roof Replacement</v>
      </c>
      <c r="F37" s="212">
        <f>VLOOKUP(C37,'Project Status'!C:L,10,FALSE)</f>
        <v>400000</v>
      </c>
      <c r="G37" s="213">
        <f>VLOOKUP(C37,'Project Status'!C:R,16,FALSE)</f>
        <v>483440</v>
      </c>
      <c r="H37" s="214">
        <f>VLOOKUP(C37,'Project Status'!C:U,19,FALSE)</f>
        <v>-32665</v>
      </c>
    </row>
    <row r="38" spans="1:8" x14ac:dyDescent="0.4">
      <c r="A38" s="108">
        <f t="shared" si="0"/>
        <v>33</v>
      </c>
      <c r="B38" t="str">
        <f>VLOOKUP(C38,'Project Status'!C:J,8,FALSE)</f>
        <v>Financial Closeout</v>
      </c>
      <c r="C38" s="60">
        <v>20831</v>
      </c>
      <c r="D38" s="26" t="str">
        <f>VLOOKUP(C38,'Project Status'!C:G,5,FALSE)</f>
        <v>Arts &amp; Science</v>
      </c>
      <c r="E38" t="str">
        <f>VLOOKUP(C38,'Project Status'!C:I,7,FALSE)</f>
        <v>SC6 - HVAC Upgrades - Feasibility Study</v>
      </c>
      <c r="F38" s="212">
        <f>VLOOKUP(C38,'Project Status'!C:L,10,FALSE)</f>
        <v>24000</v>
      </c>
      <c r="G38" s="213">
        <f>VLOOKUP(C38,'Project Status'!C:R,16,FALSE)</f>
        <v>0</v>
      </c>
      <c r="H38" s="214">
        <f>VLOOKUP(C38,'Project Status'!C:U,19,FALSE)</f>
        <v>24000</v>
      </c>
    </row>
    <row r="39" spans="1:8" x14ac:dyDescent="0.4">
      <c r="A39" s="108">
        <f t="shared" si="0"/>
        <v>34</v>
      </c>
      <c r="B39" t="str">
        <f>VLOOKUP(C39,'Project Status'!C:J,8,FALSE)</f>
        <v>Financial Closeout</v>
      </c>
      <c r="C39" s="60">
        <v>20832</v>
      </c>
      <c r="D39" s="26" t="str">
        <f>VLOOKUP(C39,'Project Status'!C:G,5,FALSE)</f>
        <v>Arts &amp; Science</v>
      </c>
      <c r="E39" t="str">
        <f>VLOOKUP(C39,'Project Status'!C:I,7,FALSE)</f>
        <v>Wilson Hall - HVAC Replacement</v>
      </c>
      <c r="F39" s="212">
        <f>VLOOKUP(C39,'Project Status'!C:L,10,FALSE)</f>
        <v>24000</v>
      </c>
      <c r="G39" s="213">
        <f>VLOOKUP(C39,'Project Status'!C:R,16,FALSE)</f>
        <v>0</v>
      </c>
      <c r="H39" s="214">
        <f>VLOOKUP(C39,'Project Status'!C:U,19,FALSE)</f>
        <v>24000</v>
      </c>
    </row>
    <row r="40" spans="1:8" x14ac:dyDescent="0.4">
      <c r="A40" s="108">
        <f t="shared" si="0"/>
        <v>35</v>
      </c>
      <c r="B40" t="str">
        <f>VLOOKUP(C40,'Project Status'!C:J,8,FALSE)</f>
        <v>Warranty or Construction Closeout</v>
      </c>
      <c r="C40" s="60">
        <v>20833</v>
      </c>
      <c r="D40" s="26" t="str">
        <f>VLOOKUP(C40,'Project Status'!C:G,5,FALSE)</f>
        <v>Arts &amp; Science</v>
      </c>
      <c r="E40" t="str">
        <f>VLOOKUP(C40,'Project Status'!C:I,7,FALSE)</f>
        <v>SC5 - HVAC Replacement</v>
      </c>
      <c r="F40" s="212">
        <f>VLOOKUP(C40,'Project Status'!C:L,10,FALSE)</f>
        <v>24000</v>
      </c>
      <c r="G40" s="213">
        <f>VLOOKUP(C40,'Project Status'!C:R,16,FALSE)</f>
        <v>0</v>
      </c>
      <c r="H40" s="214">
        <f>VLOOKUP(C40,'Project Status'!C:U,19,FALSE)</f>
        <v>24000</v>
      </c>
    </row>
    <row r="41" spans="1:8" x14ac:dyDescent="0.4">
      <c r="A41" s="108">
        <f t="shared" si="0"/>
        <v>36</v>
      </c>
      <c r="B41" t="str">
        <f>VLOOKUP(C41,'Project Status'!C:J,8,FALSE)</f>
        <v>Finalized</v>
      </c>
      <c r="C41" s="60">
        <v>20834</v>
      </c>
      <c r="D41" s="26" t="str">
        <f>VLOOKUP(C41,'Project Status'!C:G,5,FALSE)</f>
        <v>Peabody</v>
      </c>
      <c r="E41" t="str">
        <f>VLOOKUP(C41,'Project Status'!C:I,7,FALSE)</f>
        <v>Wyatt Center - HVAC Upgrades - Engineering Study</v>
      </c>
      <c r="F41" s="212">
        <f>VLOOKUP(C41,'Project Status'!C:L,10,FALSE)</f>
        <v>5000</v>
      </c>
      <c r="G41" s="213">
        <f>VLOOKUP(C41,'Project Status'!C:R,16,FALSE)</f>
        <v>0</v>
      </c>
      <c r="H41" s="214">
        <f>VLOOKUP(C41,'Project Status'!C:U,19,FALSE)</f>
        <v>0</v>
      </c>
    </row>
    <row r="42" spans="1:8" x14ac:dyDescent="0.4">
      <c r="A42" s="108">
        <f t="shared" si="0"/>
        <v>37</v>
      </c>
      <c r="B42" t="str">
        <f>VLOOKUP(C42,'Project Status'!C:J,8,FALSE)</f>
        <v>Bidding</v>
      </c>
      <c r="C42" s="60">
        <v>20857</v>
      </c>
      <c r="D42" s="26" t="str">
        <f>VLOOKUP(C42,'Project Status'!C:G,5,FALSE)</f>
        <v>Peabody</v>
      </c>
      <c r="E42" t="str">
        <f>VLOOKUP(C42,'Project Status'!C:I,7,FALSE)</f>
        <v>One Magnolia Circle - Elevator Modernization</v>
      </c>
      <c r="F42" s="212">
        <f>VLOOKUP(C42,'Project Status'!C:L,10,FALSE)</f>
        <v>640000</v>
      </c>
      <c r="G42" s="213">
        <f>VLOOKUP(C42,'Project Status'!C:R,16,FALSE)</f>
        <v>0</v>
      </c>
      <c r="H42" s="214">
        <f>VLOOKUP(C42,'Project Status'!C:U,19,FALSE)</f>
        <v>509184</v>
      </c>
    </row>
    <row r="43" spans="1:8" x14ac:dyDescent="0.4">
      <c r="A43" s="108">
        <f t="shared" si="0"/>
        <v>38</v>
      </c>
      <c r="B43" t="str">
        <f>VLOOKUP(C43,'Project Status'!C:J,8,FALSE)</f>
        <v>Award</v>
      </c>
      <c r="C43" s="60">
        <v>20885</v>
      </c>
      <c r="D43" s="26" t="str">
        <f>VLOOKUP(C43,'Project Status'!C:G,5,FALSE)</f>
        <v>SOM Basic Sciences</v>
      </c>
      <c r="E43" t="str">
        <f>VLOOKUP(C43,'Project Status'!C:I,7,FALSE)</f>
        <v>NMR - Replace Air Compressors</v>
      </c>
      <c r="F43" s="212">
        <f>VLOOKUP(C43,'Project Status'!C:L,10,FALSE)</f>
        <v>99000</v>
      </c>
      <c r="G43" s="213">
        <f>VLOOKUP(C43,'Project Status'!C:R,16,FALSE)</f>
        <v>0</v>
      </c>
      <c r="H43" s="214">
        <f>VLOOKUP(C43,'Project Status'!C:U,19,FALSE)</f>
        <v>98341</v>
      </c>
    </row>
    <row r="44" spans="1:8" x14ac:dyDescent="0.4">
      <c r="A44" s="108">
        <f t="shared" si="0"/>
        <v>39</v>
      </c>
      <c r="B44" t="str">
        <f>VLOOKUP(C44,'Project Status'!C:J,8,FALSE)</f>
        <v>Bidding</v>
      </c>
      <c r="C44" s="60">
        <v>20911</v>
      </c>
      <c r="D44" s="26" t="str">
        <f>VLOOKUP(C44,'Project Status'!C:G,5,FALSE)</f>
        <v>Arts &amp; Science</v>
      </c>
      <c r="E44" t="str">
        <f>VLOOKUP(C44,'Project Status'!C:I,7,FALSE)</f>
        <v>Buttrick Hall - Elevator Upgrades</v>
      </c>
      <c r="F44" s="212">
        <f>VLOOKUP(C44,'Project Status'!C:L,10,FALSE)</f>
        <v>75000</v>
      </c>
      <c r="G44" s="213">
        <f>VLOOKUP(C44,'Project Status'!C:R,16,FALSE)</f>
        <v>0</v>
      </c>
      <c r="H44" s="214">
        <f>VLOOKUP(C44,'Project Status'!C:U,19,FALSE)</f>
        <v>61045</v>
      </c>
    </row>
    <row r="45" spans="1:8" x14ac:dyDescent="0.4">
      <c r="A45" s="108">
        <f t="shared" si="0"/>
        <v>40</v>
      </c>
      <c r="B45" t="str">
        <f>VLOOKUP(C45,'Project Status'!C:J,8,FALSE)</f>
        <v>Bidding</v>
      </c>
      <c r="C45" s="60">
        <v>20912</v>
      </c>
      <c r="D45" s="26" t="str">
        <f>VLOOKUP(C45,'Project Status'!C:G,5,FALSE)</f>
        <v>Arts &amp; Science</v>
      </c>
      <c r="E45" t="str">
        <f>VLOOKUP(C45,'Project Status'!C:I,7,FALSE)</f>
        <v>Benson Hall - Elevator Upgrades</v>
      </c>
      <c r="F45" s="212">
        <f>VLOOKUP(C45,'Project Status'!C:L,10,FALSE)</f>
        <v>75000</v>
      </c>
      <c r="G45" s="213">
        <f>VLOOKUP(C45,'Project Status'!C:R,16,FALSE)</f>
        <v>0</v>
      </c>
      <c r="H45" s="214">
        <f>VLOOKUP(C45,'Project Status'!C:U,19,FALSE)</f>
        <v>59798</v>
      </c>
    </row>
    <row r="46" spans="1:8" x14ac:dyDescent="0.4">
      <c r="A46" s="108">
        <f t="shared" si="0"/>
        <v>41</v>
      </c>
      <c r="B46" t="str">
        <f>VLOOKUP(C46,'Project Status'!C:J,8,FALSE)</f>
        <v>Bidding</v>
      </c>
      <c r="C46" s="60">
        <v>20913</v>
      </c>
      <c r="D46" s="26" t="str">
        <f>VLOOKUP(C46,'Project Status'!C:G,5,FALSE)</f>
        <v>Arts &amp; Science</v>
      </c>
      <c r="E46" t="str">
        <f>VLOOKUP(C46,'Project Status'!C:I,7,FALSE)</f>
        <v>Wilson Hall - Elevator Upgrades</v>
      </c>
      <c r="F46" s="212">
        <f>VLOOKUP(C46,'Project Status'!C:L,10,FALSE)</f>
        <v>75000</v>
      </c>
      <c r="G46" s="213">
        <f>VLOOKUP(C46,'Project Status'!C:R,16,FALSE)</f>
        <v>0</v>
      </c>
      <c r="H46" s="214">
        <f>VLOOKUP(C46,'Project Status'!C:U,19,FALSE)</f>
        <v>96612</v>
      </c>
    </row>
    <row r="47" spans="1:8" x14ac:dyDescent="0.4">
      <c r="A47" s="108">
        <f t="shared" si="0"/>
        <v>42</v>
      </c>
      <c r="B47" t="str">
        <f>VLOOKUP(C47,'Project Status'!C:J,8,FALSE)</f>
        <v>Programming or Planning</v>
      </c>
      <c r="C47" s="60">
        <v>20924</v>
      </c>
      <c r="D47" s="26" t="str">
        <f>VLOOKUP(C47,'Project Status'!C:G,5,FALSE)</f>
        <v>Nursing</v>
      </c>
      <c r="E47" t="str">
        <f>VLOOKUP(C47,'Project Status'!C:I,7,FALSE)</f>
        <v>Frist Hall - Stairwell Roof Replacement</v>
      </c>
      <c r="F47" s="212">
        <f>VLOOKUP(C47,'Project Status'!C:L,10,FALSE)</f>
        <v>0</v>
      </c>
      <c r="G47" s="213">
        <f>VLOOKUP(C47,'Project Status'!C:R,16,FALSE)</f>
        <v>0</v>
      </c>
      <c r="H47" s="214">
        <f>VLOOKUP(C47,'Project Status'!C:U,19,FALSE)</f>
        <v>0</v>
      </c>
    </row>
    <row r="48" spans="1:8" x14ac:dyDescent="0.4">
      <c r="A48" s="108">
        <f t="shared" si="0"/>
        <v>43</v>
      </c>
      <c r="B48" t="str">
        <f>VLOOKUP(C48,'Project Status'!C:J,8,FALSE)</f>
        <v>Not Started</v>
      </c>
      <c r="C48" s="60">
        <v>20925</v>
      </c>
      <c r="D48" s="26" t="str">
        <f>VLOOKUP(C48,'Project Status'!C:G,5,FALSE)</f>
        <v>Blair</v>
      </c>
      <c r="E48" t="str">
        <f>VLOOKUP(C48,'Project Status'!C:I,7,FALSE)</f>
        <v>Blair School of Music - AHU 2/3 Replacement  - Phase 2 - FY26</v>
      </c>
      <c r="F48" s="212">
        <f>VLOOKUP(C48,'Project Status'!C:L,10,FALSE)</f>
        <v>2750000</v>
      </c>
      <c r="G48" s="213">
        <f>VLOOKUP(C48,'Project Status'!C:R,16,FALSE)</f>
        <v>0</v>
      </c>
      <c r="H48" s="214">
        <f>VLOOKUP(C48,'Project Status'!C:U,19,FALSE)</f>
        <v>0</v>
      </c>
    </row>
    <row r="49" spans="1:8" x14ac:dyDescent="0.4">
      <c r="A49" s="108">
        <f t="shared" si="0"/>
        <v>44</v>
      </c>
      <c r="B49" t="str">
        <f>VLOOKUP(C49,'Project Status'!C:J,8,FALSE)</f>
        <v>Not Started</v>
      </c>
      <c r="C49" s="60">
        <v>20934</v>
      </c>
      <c r="D49" s="26" t="str">
        <f>VLOOKUP(C49,'Project Status'!C:G,5,FALSE)</f>
        <v>Arts &amp; Science</v>
      </c>
      <c r="E49" t="str">
        <f>VLOOKUP(C49,'Project Status'!C:I,7,FALSE)</f>
        <v>Neely Auditorium - MEP Feasibility Study</v>
      </c>
      <c r="F49" s="212">
        <f>VLOOKUP(C49,'Project Status'!C:L,10,FALSE)</f>
        <v>0</v>
      </c>
      <c r="G49" s="213">
        <f>VLOOKUP(C49,'Project Status'!C:R,16,FALSE)</f>
        <v>0</v>
      </c>
      <c r="H49" s="214">
        <f>VLOOKUP(C49,'Project Status'!C:U,19,FALSE)</f>
        <v>0</v>
      </c>
    </row>
    <row r="50" spans="1:8" x14ac:dyDescent="0.4">
      <c r="A50" s="108">
        <f t="shared" si="0"/>
        <v>45</v>
      </c>
      <c r="B50" t="str">
        <f>VLOOKUP(C50,'Project Status'!C:J,8,FALSE)</f>
        <v>Not Started</v>
      </c>
      <c r="C50" s="60">
        <v>20936</v>
      </c>
      <c r="D50" s="26" t="str">
        <f>VLOOKUP(C50,'Project Status'!C:G,5,FALSE)</f>
        <v>Arts &amp; Science</v>
      </c>
      <c r="E50" t="str">
        <f>VLOOKUP(C50,'Project Status'!C:I,7,FALSE)</f>
        <v>Wilson Hall - Lighting Retrofit for 103 and 126</v>
      </c>
      <c r="F50" s="212">
        <f>VLOOKUP(C50,'Project Status'!C:L,10,FALSE)</f>
        <v>0</v>
      </c>
      <c r="G50" s="213">
        <f>VLOOKUP(C50,'Project Status'!C:R,16,FALSE)</f>
        <v>0</v>
      </c>
      <c r="H50" s="214">
        <f>VLOOKUP(C50,'Project Status'!C:U,19,FALSE)</f>
        <v>0</v>
      </c>
    </row>
    <row r="51" spans="1:8" x14ac:dyDescent="0.4">
      <c r="A51" s="108">
        <f t="shared" si="0"/>
        <v>46</v>
      </c>
      <c r="B51" t="str">
        <f>VLOOKUP(C51,'Project Status'!C:J,8,FALSE)</f>
        <v>Not Started</v>
      </c>
      <c r="C51" s="60">
        <v>20940</v>
      </c>
      <c r="D51" s="26" t="str">
        <f>VLOOKUP(C51,'Project Status'!C:G,5,FALSE)</f>
        <v>Engineering</v>
      </c>
      <c r="E51" t="str">
        <f>VLOOKUP(C51,'Project Status'!C:I,7,FALSE)</f>
        <v>1025 16th Avenue - Security System Replacement</v>
      </c>
      <c r="F51" s="212">
        <f>VLOOKUP(C51,'Project Status'!C:L,10,FALSE)</f>
        <v>0</v>
      </c>
      <c r="G51" s="213">
        <f>VLOOKUP(C51,'Project Status'!C:R,16,FALSE)</f>
        <v>0</v>
      </c>
      <c r="H51" s="214">
        <f>VLOOKUP(C51,'Project Status'!C:U,19,FALSE)</f>
        <v>0</v>
      </c>
    </row>
    <row r="52" spans="1:8" x14ac:dyDescent="0.4">
      <c r="A52" s="108">
        <f t="shared" si="0"/>
        <v>47</v>
      </c>
      <c r="B52" t="str">
        <f>VLOOKUP(C52,'Project Status'!C:J,8,FALSE)</f>
        <v>Design</v>
      </c>
      <c r="C52" s="60">
        <v>20945</v>
      </c>
      <c r="D52" s="26" t="str">
        <f>VLOOKUP(C52,'Project Status'!C:G,5,FALSE)</f>
        <v>Other</v>
      </c>
      <c r="E52" t="str">
        <f>VLOOKUP(C52,'Project Status'!C:I,7,FALSE)</f>
        <v>Seigenthaler Building - HVAC Improvements</v>
      </c>
      <c r="F52" s="212">
        <f>VLOOKUP(C52,'Project Status'!C:L,10,FALSE)</f>
        <v>0</v>
      </c>
      <c r="G52" s="213">
        <f>VLOOKUP(C52,'Project Status'!C:R,16,FALSE)</f>
        <v>0</v>
      </c>
      <c r="H52" s="214">
        <f>VLOOKUP(C52,'Project Status'!C:U,19,FALSE)</f>
        <v>99000</v>
      </c>
    </row>
    <row r="53" spans="1:8" x14ac:dyDescent="0.4">
      <c r="A53" s="108">
        <f t="shared" si="0"/>
        <v>48</v>
      </c>
      <c r="B53" t="str">
        <f>VLOOKUP(C53,'Project Status'!C:J,8,FALSE)</f>
        <v>Planning</v>
      </c>
      <c r="C53" s="60" t="s">
        <v>380</v>
      </c>
      <c r="D53" s="26" t="str">
        <f>VLOOKUP(C53,'Project Status'!C:G,5,FALSE)</f>
        <v>Law</v>
      </c>
      <c r="E53" t="str">
        <f>VLOOKUP(C53,'Project Status'!C:I,7,FALSE)</f>
        <v>Law School - Exterior Window Painting</v>
      </c>
      <c r="F53" s="212">
        <f>VLOOKUP(C53,'Project Status'!C:L,10,FALSE)</f>
        <v>0</v>
      </c>
      <c r="G53" s="213">
        <f>VLOOKUP(C53,'Project Status'!C:R,16,FALSE)</f>
        <v>0</v>
      </c>
      <c r="H53" s="214">
        <f>VLOOKUP(C53,'Project Status'!C:U,19,FALSE)</f>
        <v>420000</v>
      </c>
    </row>
    <row r="54" spans="1:8" s="20" customFormat="1" x14ac:dyDescent="0.4">
      <c r="F54" s="81">
        <f>SUM(F6:F53)</f>
        <v>36236742.759999998</v>
      </c>
      <c r="G54" s="82">
        <f>SUM(G6:G53)</f>
        <v>8797286.2599999998</v>
      </c>
      <c r="H54" s="128">
        <f>SUM(H6:H53)</f>
        <v>10790921.719999999</v>
      </c>
    </row>
    <row r="55" spans="1:8" s="20" customFormat="1" x14ac:dyDescent="0.4">
      <c r="F55" s="75"/>
      <c r="G55" s="75"/>
      <c r="H55" s="75"/>
    </row>
  </sheetData>
  <sortState xmlns:xlrd2="http://schemas.microsoft.com/office/spreadsheetml/2017/richdata2" ref="B6:G27">
    <sortCondition ref="B6:B27"/>
    <sortCondition ref="D6:D27"/>
  </sortState>
  <pageMargins left="0.7" right="0.7" top="0.75" bottom="0.75" header="0.3" footer="0.3"/>
  <pageSetup paperSize="5" scale="95" fitToWidth="0" orientation="landscape" horizontalDpi="4294967295" verticalDpi="4294967295"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6.69140625" bestFit="1" customWidth="1"/>
    <col min="4" max="4" width="40.15234375" bestFit="1" customWidth="1"/>
    <col min="5" max="5" width="64.3046875" bestFit="1" customWidth="1"/>
    <col min="6" max="6" width="17.53515625" bestFit="1" customWidth="1"/>
    <col min="7" max="7" width="12.3046875" bestFit="1" customWidth="1"/>
    <col min="8" max="8" width="16.53515625" bestFit="1" customWidth="1"/>
    <col min="9" max="9" width="12.1523437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20700</v>
      </c>
      <c r="B4" s="11">
        <f>VLOOKUP(A4,'Project Status'!C:D,2,FALSE)</f>
        <v>851</v>
      </c>
      <c r="C4" s="11">
        <f>VLOOKUP(A4,'Project Status'!C:E,3,FALSE)</f>
        <v>0</v>
      </c>
      <c r="D4" s="11" t="str">
        <f>VLOOKUP(A4,'Project Status'!C:F,4,FALSE)</f>
        <v>12000 - Arts and Science: Office of the Dean</v>
      </c>
      <c r="E4" s="11" t="str">
        <f>VLOOKUP(A4,'Project Status'!C:I,7,FALSE)</f>
        <v>SC-7 Chemistry - SG-1 Removal and Connection to Central Plant Steam</v>
      </c>
      <c r="F4" s="11" t="str">
        <f>VLOOKUP(A4,'Project Status'!C:J,8,FALSE)</f>
        <v>Financial Closeout</v>
      </c>
      <c r="G4" s="11" t="str">
        <f>VLOOKUP(A4,'Project Status'!C:K,9,FALSE)</f>
        <v>Sean Rewers</v>
      </c>
      <c r="H4" s="99">
        <f>VLOOKUP(A4,'Project Status'!C:M,11,FALSE)</f>
        <v>85577</v>
      </c>
      <c r="I4" s="202">
        <f>VLOOKUP(B4,'Project Status'!D:N,11,FALSE)</f>
        <v>85576.77</v>
      </c>
    </row>
    <row r="8" spans="1:11" x14ac:dyDescent="0.4">
      <c r="E8" s="42" t="s">
        <v>124</v>
      </c>
    </row>
    <row r="9" spans="1:11" x14ac:dyDescent="0.4">
      <c r="E9" s="22" t="s">
        <v>226</v>
      </c>
      <c r="F9" s="34" t="s">
        <v>139</v>
      </c>
      <c r="H9" s="110">
        <v>2500</v>
      </c>
    </row>
    <row r="10" spans="1:11" x14ac:dyDescent="0.4">
      <c r="E10" s="22" t="s">
        <v>254</v>
      </c>
      <c r="F10" t="s">
        <v>139</v>
      </c>
      <c r="H10" s="43">
        <v>77123</v>
      </c>
    </row>
    <row r="11" spans="1:11" x14ac:dyDescent="0.4">
      <c r="E11" s="22" t="s">
        <v>340</v>
      </c>
      <c r="F11" t="s">
        <v>174</v>
      </c>
      <c r="H11" s="43">
        <v>5954</v>
      </c>
    </row>
    <row r="18" spans="5:8" x14ac:dyDescent="0.4">
      <c r="E18" s="161" t="s">
        <v>271</v>
      </c>
      <c r="F18" s="162"/>
      <c r="G18" s="161"/>
      <c r="H18" s="163">
        <f>SUM(H9:H17)</f>
        <v>85577</v>
      </c>
    </row>
    <row r="20" spans="5:8" x14ac:dyDescent="0.4">
      <c r="E20" s="164" t="s">
        <v>136</v>
      </c>
      <c r="F20" s="164"/>
      <c r="G20" s="164"/>
      <c r="H20" s="165">
        <f>H4-H18</f>
        <v>0</v>
      </c>
    </row>
  </sheetData>
  <hyperlinks>
    <hyperlink ref="K1" location="'Project Status'!A1" display="'Project Status'!A1" xr:uid="{5C3C34A0-1189-4174-89EA-A505915DF0CB}"/>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22EE-F30F-4805-ABE6-0899D66A2DAE}">
  <sheetPr>
    <tabColor theme="4"/>
  </sheetPr>
  <dimension ref="A1:K20"/>
  <sheetViews>
    <sheetView zoomScale="90" zoomScaleNormal="90" workbookViewId="0">
      <selection activeCell="U5" sqref="U5"/>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6.53515625" bestFit="1" customWidth="1"/>
    <col min="6" max="6" width="6.69140625" bestFit="1" customWidth="1"/>
    <col min="7" max="7" width="12.3046875" bestFit="1" customWidth="1"/>
    <col min="8" max="8" width="16.53515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20701</v>
      </c>
      <c r="B4" s="11">
        <f>VLOOKUP(A4,'Project Status'!C:D,2,FALSE)</f>
        <v>4399</v>
      </c>
      <c r="C4" s="11" t="str">
        <f>VLOOKUP(A4,'Project Status'!C:E,3,FALSE)</f>
        <v>CP_400198</v>
      </c>
      <c r="D4" s="11" t="str">
        <f>VLOOKUP(A4,'Project Status'!C:F,4,FALSE)</f>
        <v>12000 - Arts and Science: Office of the Dean</v>
      </c>
      <c r="E4" s="11" t="str">
        <f>VLOOKUP(A4,'Project Status'!C:I,7,FALSE)</f>
        <v>SC-5 - Chemical Discharge Replacement</v>
      </c>
      <c r="F4" s="11" t="str">
        <f>VLOOKUP(A4,'Project Status'!C:J,8,FALSE)</f>
        <v>Design</v>
      </c>
      <c r="G4" s="11" t="str">
        <f>VLOOKUP(A4,'Project Status'!C:K,9,FALSE)</f>
        <v>Sean Rewers</v>
      </c>
      <c r="H4" s="99">
        <f>VLOOKUP(A4,'Project Status'!C:M,11,FALSE)</f>
        <v>499093</v>
      </c>
    </row>
    <row r="8" spans="1:11" x14ac:dyDescent="0.4">
      <c r="E8" s="42" t="s">
        <v>124</v>
      </c>
    </row>
    <row r="9" spans="1:11" x14ac:dyDescent="0.4">
      <c r="E9" s="22" t="s">
        <v>272</v>
      </c>
      <c r="F9" s="34" t="s">
        <v>139</v>
      </c>
      <c r="H9" s="110">
        <v>499093</v>
      </c>
    </row>
    <row r="10" spans="1:11" x14ac:dyDescent="0.4">
      <c r="E10" s="22"/>
      <c r="H10" s="43"/>
    </row>
    <row r="18" spans="5:8" x14ac:dyDescent="0.4">
      <c r="E18" s="161" t="s">
        <v>271</v>
      </c>
      <c r="F18" s="162"/>
      <c r="G18" s="161"/>
      <c r="H18" s="163">
        <f>SUM(H9:H17)</f>
        <v>499093</v>
      </c>
    </row>
    <row r="20" spans="5:8" x14ac:dyDescent="0.4">
      <c r="E20" s="164" t="s">
        <v>136</v>
      </c>
      <c r="F20" s="164"/>
      <c r="G20" s="164"/>
      <c r="H20" s="165">
        <f>H4-H18</f>
        <v>0</v>
      </c>
    </row>
  </sheetData>
  <hyperlinks>
    <hyperlink ref="K1" location="'Project Status'!A1" display="'Project Status'!A1" xr:uid="{9E262A90-B31F-4C48-BD8B-B68FC8054AFA}"/>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1"/>
  </sheetPr>
  <dimension ref="A1:K20"/>
  <sheetViews>
    <sheetView zoomScale="90" zoomScaleNormal="90" workbookViewId="0">
      <selection activeCell="H20" sqref="H20"/>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38.38281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20702</v>
      </c>
      <c r="B4" s="11">
        <f>VLOOKUP(A4,'Project Status'!C:D,2,FALSE)</f>
        <v>8432</v>
      </c>
      <c r="C4" s="11" t="str">
        <f>VLOOKUP(A4,'Project Status'!C:E,3,FALSE)</f>
        <v>CP_400165</v>
      </c>
      <c r="D4" s="11" t="str">
        <f>VLOOKUP(A4,'Project Status'!C:F,4,FALSE)</f>
        <v>21000 - Peabody College: Office of the Dean</v>
      </c>
      <c r="E4" s="11" t="str">
        <f>VLOOKUP(A4,'Project Status'!C:I,7,FALSE)</f>
        <v>Wyatt Center - Elevator #2 Modernization</v>
      </c>
      <c r="F4" s="11" t="str">
        <f>VLOOKUP(A4,'Project Status'!C:J,8,FALSE)</f>
        <v>Financial Closeout</v>
      </c>
      <c r="G4" s="11" t="str">
        <f>VLOOKUP(A4,'Project Status'!C:K,9,FALSE)</f>
        <v>Ben Bedock</v>
      </c>
      <c r="H4" s="99">
        <f>VLOOKUP(A4,'Project Status'!C:M,11,FALSE)</f>
        <v>239341</v>
      </c>
      <c r="I4" s="202">
        <f>VLOOKUP(B4,'Project Status'!D:N,11,FALSE)</f>
        <v>209419</v>
      </c>
    </row>
    <row r="8" spans="1:11" x14ac:dyDescent="0.4">
      <c r="E8" s="42" t="s">
        <v>124</v>
      </c>
    </row>
    <row r="9" spans="1:11" x14ac:dyDescent="0.4">
      <c r="E9" s="22" t="s">
        <v>215</v>
      </c>
      <c r="F9" s="34" t="s">
        <v>139</v>
      </c>
      <c r="H9" s="43">
        <v>13550</v>
      </c>
    </row>
    <row r="10" spans="1:11" x14ac:dyDescent="0.4">
      <c r="E10" s="22" t="s">
        <v>233</v>
      </c>
      <c r="F10" t="s">
        <v>214</v>
      </c>
      <c r="H10" s="43">
        <v>225791</v>
      </c>
    </row>
    <row r="11" spans="1:11" x14ac:dyDescent="0.4">
      <c r="E11" s="22" t="s">
        <v>405</v>
      </c>
      <c r="F11" t="s">
        <v>437</v>
      </c>
      <c r="H11" s="43">
        <v>-29922</v>
      </c>
    </row>
    <row r="18" spans="5:8" x14ac:dyDescent="0.4">
      <c r="E18" s="161" t="s">
        <v>271</v>
      </c>
      <c r="F18" s="162"/>
      <c r="G18" s="161"/>
      <c r="H18" s="163">
        <f>SUM(H9:H17)</f>
        <v>209419</v>
      </c>
    </row>
    <row r="20" spans="5:8" x14ac:dyDescent="0.4">
      <c r="E20" s="164" t="s">
        <v>136</v>
      </c>
      <c r="F20" s="164"/>
      <c r="G20" s="164"/>
      <c r="H20" s="165">
        <f>I4-H18</f>
        <v>0</v>
      </c>
    </row>
  </sheetData>
  <hyperlinks>
    <hyperlink ref="K1" location="'Project Status'!A1" display="'Project Status'!A1" xr:uid="{2FC6B3AC-6ED8-47FB-9F2B-DB62EB3B1C7C}"/>
  </hyperlinks>
  <pageMargins left="0.7" right="0.7" top="0.75" bottom="0.75" header="0.3" footer="0.3"/>
  <pageSetup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39D3-9962-49A5-8528-110A080E1E42}">
  <sheetPr>
    <tabColor theme="1" tint="0.499984740745262"/>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3.3828125" bestFit="1" customWidth="1"/>
    <col min="6" max="6" width="30.53515625" bestFit="1" customWidth="1"/>
    <col min="7" max="7" width="8.84375" bestFit="1" customWidth="1"/>
    <col min="8" max="8" width="16.53515625" bestFit="1" customWidth="1"/>
    <col min="9" max="9" width="13.304687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20718</v>
      </c>
      <c r="B4" s="11">
        <f>VLOOKUP(A4,'Project Status'!C:D,2,FALSE)</f>
        <v>8608</v>
      </c>
      <c r="C4" s="11" t="str">
        <f>VLOOKUP(A4,'Project Status'!C:E,3,FALSE)</f>
        <v>CP_400174</v>
      </c>
      <c r="D4" s="11" t="str">
        <f>VLOOKUP(A4,'Project Status'!C:F,4,FALSE)</f>
        <v>12000 - Arts and Science: Office of the Dean</v>
      </c>
      <c r="E4" s="11" t="str">
        <f>VLOOKUP(A4,'Project Status'!C:I,7,FALSE)</f>
        <v>Buttrick Hall - 3rd Floor Inequality Renovations</v>
      </c>
      <c r="F4" s="11" t="str">
        <f>VLOOKUP(A4,'Project Status'!C:J,8,FALSE)</f>
        <v>Financial Closeout</v>
      </c>
      <c r="G4" s="11" t="str">
        <f>VLOOKUP(A4,'Project Status'!C:K,9,FALSE)</f>
        <v>Erin Fry</v>
      </c>
      <c r="H4" s="99">
        <f>VLOOKUP(A4,'Project Status'!C:M,11,FALSE)</f>
        <v>715000</v>
      </c>
      <c r="I4" s="202">
        <f>VLOOKUP(B4,'Project Status'!D:N,11,FALSE)</f>
        <v>651554.6</v>
      </c>
    </row>
    <row r="8" spans="1:11" x14ac:dyDescent="0.4">
      <c r="E8" s="42" t="s">
        <v>124</v>
      </c>
    </row>
    <row r="9" spans="1:11" x14ac:dyDescent="0.4">
      <c r="E9" s="22" t="s">
        <v>285</v>
      </c>
      <c r="F9" s="34" t="s">
        <v>284</v>
      </c>
      <c r="H9" s="43">
        <v>96166</v>
      </c>
    </row>
    <row r="10" spans="1:11" x14ac:dyDescent="0.4">
      <c r="E10" s="22"/>
      <c r="F10" s="20" t="s">
        <v>287</v>
      </c>
      <c r="H10" s="43"/>
    </row>
    <row r="11" spans="1:11" x14ac:dyDescent="0.4">
      <c r="E11" s="33" t="s">
        <v>289</v>
      </c>
      <c r="H11" s="109">
        <f>715000-96166</f>
        <v>618834</v>
      </c>
    </row>
    <row r="13" spans="1:11" x14ac:dyDescent="0.4">
      <c r="H13" s="45">
        <f>SUM(H9:H11)</f>
        <v>715000</v>
      </c>
    </row>
    <row r="18" spans="5:8" x14ac:dyDescent="0.4">
      <c r="E18" s="161" t="s">
        <v>271</v>
      </c>
      <c r="F18" s="162"/>
      <c r="G18" s="161"/>
      <c r="H18" s="163">
        <f>H9</f>
        <v>96166</v>
      </c>
    </row>
    <row r="20" spans="5:8" x14ac:dyDescent="0.4">
      <c r="E20" s="164" t="s">
        <v>136</v>
      </c>
      <c r="F20" s="164"/>
      <c r="G20" s="164"/>
      <c r="H20" s="165">
        <f>H4-H13</f>
        <v>0</v>
      </c>
    </row>
  </sheetData>
  <hyperlinks>
    <hyperlink ref="K1" location="'Project Status'!A1" display="'Project Status'!A1" xr:uid="{541B30AA-96EE-402C-BCCD-62B014152731}"/>
  </hyperlinks>
  <pageMargins left="0.7" right="0.7" top="0.75" bottom="0.75" header="0.3" footer="0.3"/>
  <pageSetup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BC0-638E-4F8A-ADCC-2DF5A65FA44D}">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56.15234375" bestFit="1" customWidth="1"/>
    <col min="6" max="6" width="7" bestFit="1" customWidth="1"/>
    <col min="7" max="7" width="13.3046875" bestFit="1" customWidth="1"/>
    <col min="8" max="8" width="16.5351562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20723</v>
      </c>
      <c r="B4" s="11">
        <f>VLOOKUP(A4,'Project Status'!C:D,2,FALSE)</f>
        <v>1628</v>
      </c>
      <c r="C4" s="11" t="str">
        <f>VLOOKUP(A4,'Project Status'!C:E,3,FALSE)</f>
        <v>CP_400187</v>
      </c>
      <c r="D4" s="11" t="str">
        <f>VLOOKUP(A4,'Project Status'!C:F,4,FALSE)</f>
        <v>18200 - Basic Sciences: Office of the Dean</v>
      </c>
      <c r="E4" s="11" t="str">
        <f>VLOOKUP(A4,'Project Status'!C:I,7,FALSE)</f>
        <v>MRB III - 9th Floor (with 4 ,5 &amp; 8) - Replace Controls (Phase 3)</v>
      </c>
      <c r="F4" s="11" t="str">
        <f>VLOOKUP(A4,'Project Status'!C:J,8,FALSE)</f>
        <v>Award</v>
      </c>
      <c r="G4" s="11" t="str">
        <f>VLOOKUP(A4,'Project Status'!C:K,9,FALSE)</f>
        <v>Andy Maddox</v>
      </c>
      <c r="H4" s="99">
        <f>VLOOKUP(A4,'Project Status'!C:M,11,FALSE)</f>
        <v>160500</v>
      </c>
    </row>
    <row r="8" spans="1:11" x14ac:dyDescent="0.4">
      <c r="E8" s="42" t="s">
        <v>124</v>
      </c>
    </row>
    <row r="9" spans="1:11" x14ac:dyDescent="0.4">
      <c r="E9" s="22" t="s">
        <v>254</v>
      </c>
      <c r="F9" s="34"/>
      <c r="H9" s="43">
        <v>24500</v>
      </c>
    </row>
    <row r="10" spans="1:11" x14ac:dyDescent="0.4">
      <c r="E10" s="22" t="s">
        <v>272</v>
      </c>
      <c r="H10" s="43">
        <v>136000</v>
      </c>
    </row>
    <row r="18" spans="5:8" x14ac:dyDescent="0.4">
      <c r="E18" s="161" t="s">
        <v>271</v>
      </c>
      <c r="F18" s="162"/>
      <c r="G18" s="161"/>
      <c r="H18" s="163">
        <f>SUM(H9:H17)</f>
        <v>160500</v>
      </c>
    </row>
    <row r="20" spans="5:8" x14ac:dyDescent="0.4">
      <c r="E20" s="164" t="s">
        <v>136</v>
      </c>
      <c r="F20" s="164"/>
      <c r="G20" s="164"/>
      <c r="H20" s="165">
        <f>H4-H18</f>
        <v>0</v>
      </c>
    </row>
  </sheetData>
  <hyperlinks>
    <hyperlink ref="K1" location="'Project Status'!A1" display="'Project Status'!A1" xr:uid="{128B9945-69C0-4655-8F8F-40479B01E1EA}"/>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4BCB-5185-4C39-8B51-1BC498DCD04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31.3046875" bestFit="1" customWidth="1"/>
    <col min="6" max="6" width="12.3828125" bestFit="1" customWidth="1"/>
    <col min="7" max="7" width="11" bestFit="1" customWidth="1"/>
    <col min="8" max="8" width="16.5351562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20724</v>
      </c>
      <c r="B4" s="11">
        <f>VLOOKUP(A4,'Project Status'!C:D,2,FALSE)</f>
        <v>8557</v>
      </c>
      <c r="C4" s="11" t="str">
        <f>VLOOKUP(A4,'Project Status'!C:E,3,FALSE)</f>
        <v>CP_400178</v>
      </c>
      <c r="D4" s="11" t="str">
        <f>VLOOKUP(A4,'Project Status'!C:F,4,FALSE)</f>
        <v>13000 - Blair: Office of the Dean</v>
      </c>
      <c r="E4" s="11" t="str">
        <f>VLOOKUP(A4,'Project Status'!C:I,7,FALSE)</f>
        <v>Blair School of Music - Steam Line</v>
      </c>
      <c r="F4" s="11" t="str">
        <f>VLOOKUP(A4,'Project Status'!C:J,8,FALSE)</f>
        <v>Construction</v>
      </c>
      <c r="G4" s="11" t="str">
        <f>VLOOKUP(A4,'Project Status'!C:K,9,FALSE)</f>
        <v>Hans Mooy</v>
      </c>
      <c r="H4" s="99">
        <f>VLOOKUP(A4,'Project Status'!C:M,11,FALSE)</f>
        <v>1987500</v>
      </c>
    </row>
    <row r="8" spans="1:11" x14ac:dyDescent="0.4">
      <c r="E8" s="42" t="s">
        <v>124</v>
      </c>
    </row>
    <row r="9" spans="1:11" x14ac:dyDescent="0.4">
      <c r="E9" t="s">
        <v>240</v>
      </c>
      <c r="F9" t="s">
        <v>139</v>
      </c>
      <c r="H9" s="43">
        <v>23400</v>
      </c>
    </row>
    <row r="10" spans="1:11" x14ac:dyDescent="0.4">
      <c r="E10" t="s">
        <v>379</v>
      </c>
      <c r="F10" t="s">
        <v>214</v>
      </c>
      <c r="H10" s="43">
        <v>1964100</v>
      </c>
    </row>
    <row r="12" spans="1:11" x14ac:dyDescent="0.4">
      <c r="F12" s="10"/>
      <c r="G12" s="10"/>
      <c r="H12" s="46"/>
    </row>
    <row r="18" spans="5:8" x14ac:dyDescent="0.4">
      <c r="E18" s="161" t="s">
        <v>271</v>
      </c>
      <c r="F18" s="162"/>
      <c r="G18" s="161"/>
      <c r="H18" s="163">
        <f>SUM(H9:H17)</f>
        <v>1987500</v>
      </c>
    </row>
    <row r="20" spans="5:8" x14ac:dyDescent="0.4">
      <c r="E20" s="164" t="s">
        <v>136</v>
      </c>
      <c r="F20" s="164"/>
      <c r="G20" s="164"/>
      <c r="H20" s="165">
        <f>H4-H18</f>
        <v>0</v>
      </c>
    </row>
  </sheetData>
  <hyperlinks>
    <hyperlink ref="K1" location="'Project Status'!A1" display="'Project Status'!A1" xr:uid="{8E337751-EDF1-4608-B301-35648AFC4573}"/>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D17C-4074-4FF4-8E38-15D4DF4E220C}">
  <sheetPr>
    <tabColor theme="1" tint="0.499984740745262"/>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32.38281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20735</v>
      </c>
      <c r="B4" s="11">
        <f>VLOOKUP(A4,'Project Status'!C:D,2,FALSE)</f>
        <v>8226</v>
      </c>
      <c r="C4" s="11">
        <f>VLOOKUP(A4,'Project Status'!C:E,3,FALSE)</f>
        <v>0</v>
      </c>
      <c r="D4" s="11" t="str">
        <f>VLOOKUP(A4,'Project Status'!C:F,4,FALSE)</f>
        <v>20000 - Owen: Office of the Dean</v>
      </c>
      <c r="E4" s="11" t="str">
        <f>VLOOKUP(A4,'Project Status'!C:I,7,FALSE)</f>
        <v>Owen - Roof Replacement (Third Level)</v>
      </c>
      <c r="F4" s="11" t="str">
        <f>VLOOKUP(A4,'Project Status'!C:J,8,FALSE)</f>
        <v>Warranty or Construction Closeout</v>
      </c>
      <c r="G4" s="11" t="str">
        <f>VLOOKUP(A4,'Project Status'!C:K,9,FALSE)</f>
        <v>Ben Bedock</v>
      </c>
      <c r="H4" s="99">
        <f>VLOOKUP(A4,'Project Status'!C:M,11,FALSE)</f>
        <v>300000</v>
      </c>
      <c r="I4" s="202">
        <f>VLOOKUP(B4,'Project Status'!D:N,11,FALSE)</f>
        <v>276500</v>
      </c>
    </row>
    <row r="8" spans="1:11" x14ac:dyDescent="0.4">
      <c r="E8" s="42" t="s">
        <v>124</v>
      </c>
    </row>
    <row r="9" spans="1:11" x14ac:dyDescent="0.4">
      <c r="E9" s="22" t="s">
        <v>279</v>
      </c>
      <c r="F9" t="s">
        <v>139</v>
      </c>
      <c r="H9" s="43">
        <v>300000</v>
      </c>
    </row>
    <row r="10" spans="1:11" x14ac:dyDescent="0.4">
      <c r="E10" s="22"/>
    </row>
    <row r="12" spans="1:11" x14ac:dyDescent="0.4">
      <c r="F12" s="10"/>
      <c r="G12" s="10"/>
      <c r="H12" s="46"/>
    </row>
    <row r="18" spans="5:8" x14ac:dyDescent="0.4">
      <c r="E18" s="161" t="s">
        <v>271</v>
      </c>
      <c r="F18" s="162"/>
      <c r="G18" s="161"/>
      <c r="H18" s="163">
        <f>SUM(H9:H17)</f>
        <v>300000</v>
      </c>
    </row>
    <row r="20" spans="5:8" x14ac:dyDescent="0.4">
      <c r="E20" s="164" t="s">
        <v>136</v>
      </c>
      <c r="F20" s="164"/>
      <c r="G20" s="164"/>
      <c r="H20" s="165">
        <f>H4-H18</f>
        <v>0</v>
      </c>
    </row>
  </sheetData>
  <hyperlinks>
    <hyperlink ref="K1" location="'Project Status'!A1" display="'Project Status'!A1" xr:uid="{A4399369-1559-421B-AF40-A08546DD82BC}"/>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AF16-AAC1-4BC8-A3CB-44690025FB6D}">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39.69140625" bestFit="1" customWidth="1"/>
    <col min="6" max="6" width="9" bestFit="1" customWidth="1"/>
    <col min="7" max="7" width="12.3046875" bestFit="1" customWidth="1"/>
    <col min="8" max="8" width="16.53515625" bestFit="1" customWidth="1"/>
    <col min="9" max="9" width="12.1523437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20771</v>
      </c>
      <c r="B4" s="11">
        <f>VLOOKUP(A4,'Project Status'!C:D,2,FALSE)</f>
        <v>8674</v>
      </c>
      <c r="C4" s="11">
        <f>VLOOKUP(A4,'Project Status'!C:E,3,FALSE)</f>
        <v>0</v>
      </c>
      <c r="D4" s="11" t="str">
        <f>VLOOKUP(A4,'Project Status'!C:F,4,FALSE)</f>
        <v>12000 - Arts and Science: Office of the Dean</v>
      </c>
      <c r="E4" s="11" t="str">
        <f>VLOOKUP(A4,'Project Status'!C:I,7,FALSE)</f>
        <v>SC4 - Interstitial Space HVAC Modifications</v>
      </c>
      <c r="F4" s="11" t="str">
        <f>VLOOKUP(A4,'Project Status'!C:J,8,FALSE)</f>
        <v>Finalized</v>
      </c>
      <c r="G4" s="11" t="str">
        <f>VLOOKUP(A4,'Project Status'!C:K,9,FALSE)</f>
        <v>Sean Rewers</v>
      </c>
      <c r="H4" s="99">
        <f>VLOOKUP(A4,'Project Status'!C:M,11,FALSE)</f>
        <v>24997</v>
      </c>
      <c r="I4" s="202">
        <f>VLOOKUP(B4,'Project Status'!D:N,11,FALSE)</f>
        <v>17972</v>
      </c>
    </row>
    <row r="8" spans="1:11" x14ac:dyDescent="0.4">
      <c r="E8" s="42" t="s">
        <v>124</v>
      </c>
    </row>
    <row r="9" spans="1:11" x14ac:dyDescent="0.4">
      <c r="E9" s="22" t="s">
        <v>272</v>
      </c>
      <c r="F9" t="s">
        <v>139</v>
      </c>
      <c r="H9" s="43">
        <v>19297</v>
      </c>
    </row>
    <row r="10" spans="1:11" x14ac:dyDescent="0.4">
      <c r="E10" s="22" t="s">
        <v>279</v>
      </c>
      <c r="F10" t="s">
        <v>214</v>
      </c>
      <c r="H10" s="43">
        <v>5700</v>
      </c>
    </row>
    <row r="11" spans="1:11" x14ac:dyDescent="0.4">
      <c r="E11" s="22" t="s">
        <v>356</v>
      </c>
      <c r="F11" t="s">
        <v>310</v>
      </c>
      <c r="H11" s="43">
        <v>-7025</v>
      </c>
    </row>
    <row r="12" spans="1:11" x14ac:dyDescent="0.4">
      <c r="F12" s="10"/>
      <c r="G12" s="10"/>
      <c r="H12" s="46"/>
    </row>
    <row r="18" spans="5:8" x14ac:dyDescent="0.4">
      <c r="E18" s="161" t="s">
        <v>271</v>
      </c>
      <c r="F18" s="162"/>
      <c r="G18" s="161"/>
      <c r="H18" s="163">
        <f>SUM(H9:H17)</f>
        <v>17972</v>
      </c>
    </row>
    <row r="20" spans="5:8" x14ac:dyDescent="0.4">
      <c r="E20" s="164" t="s">
        <v>136</v>
      </c>
      <c r="F20" s="164"/>
      <c r="G20" s="164"/>
      <c r="H20" s="165">
        <f>I4-H18</f>
        <v>0</v>
      </c>
    </row>
  </sheetData>
  <hyperlinks>
    <hyperlink ref="K1" location="'Project Status'!A1" display="'Project Status'!A1" xr:uid="{FE9FE35D-5ADF-428F-9C73-430E553BB9E5}"/>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125-FA62-4913-9C5C-815B64E8874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7.15234375" bestFit="1" customWidth="1"/>
    <col min="5" max="5" width="45.304687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20792</v>
      </c>
      <c r="B4" s="11">
        <f>VLOOKUP(A4,'Project Status'!C:D,2,FALSE)</f>
        <v>1035</v>
      </c>
      <c r="C4" s="11" t="str">
        <f>VLOOKUP(A4,'Project Status'!C:E,3,FALSE)</f>
        <v>CP_400206</v>
      </c>
      <c r="D4" s="11" t="str">
        <f>VLOOKUP(A4,'Project Status'!C:F,4,FALSE)</f>
        <v>17100 - Law: Business Affairs</v>
      </c>
      <c r="E4" s="11" t="str">
        <f>VLOOKUP(A4,'Project Status'!C:I,7,FALSE)</f>
        <v>Law School - Sections 1, 2, &amp; 3  Roof Replacement</v>
      </c>
      <c r="F4" s="11" t="str">
        <f>VLOOKUP(A4,'Project Status'!C:J,8,FALSE)</f>
        <v>Financial Closeout</v>
      </c>
      <c r="G4" s="11" t="str">
        <f>VLOOKUP(A4,'Project Status'!C:K,9,FALSE)</f>
        <v>Ben Bedock</v>
      </c>
      <c r="H4" s="99">
        <f>VLOOKUP(A4,'Project Status'!C:M,11,FALSE)</f>
        <v>483440</v>
      </c>
      <c r="I4" s="202">
        <f>VLOOKUP(B4,'Project Status'!D:N,11,FALSE)</f>
        <v>450775</v>
      </c>
    </row>
    <row r="8" spans="1:11" x14ac:dyDescent="0.4">
      <c r="E8" s="42" t="s">
        <v>124</v>
      </c>
    </row>
    <row r="9" spans="1:11" x14ac:dyDescent="0.4">
      <c r="E9" s="22" t="s">
        <v>309</v>
      </c>
      <c r="F9" t="s">
        <v>139</v>
      </c>
      <c r="H9" s="43">
        <v>483440</v>
      </c>
    </row>
    <row r="10" spans="1:11" x14ac:dyDescent="0.4">
      <c r="E10" s="22" t="s">
        <v>405</v>
      </c>
      <c r="F10" t="s">
        <v>437</v>
      </c>
      <c r="H10" s="43">
        <v>-32665</v>
      </c>
    </row>
    <row r="12" spans="1:11" x14ac:dyDescent="0.4">
      <c r="F12" s="10"/>
      <c r="G12" s="10"/>
      <c r="H12" s="46"/>
    </row>
    <row r="18" spans="5:8" x14ac:dyDescent="0.4">
      <c r="E18" s="161" t="s">
        <v>271</v>
      </c>
      <c r="F18" s="162"/>
      <c r="G18" s="161"/>
      <c r="H18" s="163">
        <f>SUM(H9:H17)</f>
        <v>450775</v>
      </c>
    </row>
    <row r="20" spans="5:8" x14ac:dyDescent="0.4">
      <c r="E20" s="164" t="s">
        <v>136</v>
      </c>
      <c r="F20" s="164"/>
      <c r="G20" s="164"/>
      <c r="H20" s="165">
        <f>I4-H18</f>
        <v>0</v>
      </c>
    </row>
  </sheetData>
  <hyperlinks>
    <hyperlink ref="K1" location="'Project Status'!A1" display="'Project Status'!A1" xr:uid="{8D4B950B-46B9-453E-93D9-3BBF9A5CCE1A}"/>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368C3-B681-49F3-B9D8-CF1A6B9B6D52}">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6.69140625" bestFit="1" customWidth="1"/>
    <col min="4" max="4" width="40.15234375" bestFit="1" customWidth="1"/>
    <col min="5" max="5" width="36.3828125" bestFit="1" customWidth="1"/>
    <col min="6" max="6" width="7" bestFit="1" customWidth="1"/>
    <col min="7" max="7" width="12.3046875" bestFit="1" customWidth="1"/>
    <col min="8" max="8" width="16.5351562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20831</v>
      </c>
      <c r="B4" s="11">
        <f>VLOOKUP(A4,'Project Status'!C:D,2,FALSE)</f>
        <v>8230</v>
      </c>
      <c r="C4" s="11">
        <f>VLOOKUP(A4,'Project Status'!C:E,3,FALSE)</f>
        <v>0</v>
      </c>
      <c r="D4" s="11" t="str">
        <f>VLOOKUP(A4,'Project Status'!C:F,4,FALSE)</f>
        <v>12000 - Arts and Science: Office of the Dean</v>
      </c>
      <c r="E4" s="11" t="str">
        <f>VLOOKUP(A4,'Project Status'!C:I,7,FALSE)</f>
        <v>SC6 - HVAC Upgrades - Feasibility Study</v>
      </c>
      <c r="F4" s="11" t="str">
        <f>VLOOKUP(A4,'Project Status'!C:J,8,FALSE)</f>
        <v>Financial Closeout</v>
      </c>
      <c r="G4" s="11" t="str">
        <f>VLOOKUP(A4,'Project Status'!C:K,9,FALSE)</f>
        <v>Sean Rewers</v>
      </c>
      <c r="H4" s="99">
        <f>VLOOKUP(A4,'Project Status'!C:M,11,FALSE)</f>
        <v>24000</v>
      </c>
    </row>
    <row r="8" spans="1:11" x14ac:dyDescent="0.4">
      <c r="E8" s="42" t="s">
        <v>124</v>
      </c>
    </row>
    <row r="9" spans="1:11" x14ac:dyDescent="0.4">
      <c r="E9" s="22" t="s">
        <v>340</v>
      </c>
      <c r="F9" t="s">
        <v>139</v>
      </c>
      <c r="H9" s="43">
        <v>24000</v>
      </c>
    </row>
    <row r="10" spans="1:11" x14ac:dyDescent="0.4">
      <c r="E10" s="22"/>
      <c r="H10" s="43"/>
    </row>
    <row r="12" spans="1:11" x14ac:dyDescent="0.4">
      <c r="F12" s="10"/>
      <c r="G12" s="10"/>
      <c r="H12" s="46"/>
    </row>
    <row r="18" spans="5:8" x14ac:dyDescent="0.4">
      <c r="E18" s="161" t="s">
        <v>271</v>
      </c>
      <c r="F18" s="162"/>
      <c r="G18" s="161"/>
      <c r="H18" s="163">
        <f>SUM(H9:H17)</f>
        <v>24000</v>
      </c>
    </row>
    <row r="20" spans="5:8" x14ac:dyDescent="0.4">
      <c r="E20" s="164" t="s">
        <v>136</v>
      </c>
      <c r="F20" s="164"/>
      <c r="G20" s="164"/>
      <c r="H20" s="165">
        <f>H4-H18</f>
        <v>0</v>
      </c>
    </row>
  </sheetData>
  <hyperlinks>
    <hyperlink ref="K1" location="'Project Status'!A1" display="'Project Status'!A1" xr:uid="{E8A0A439-2AB4-4540-942F-1B3D83DD7ED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M24"/>
  <sheetViews>
    <sheetView zoomScaleNormal="100" workbookViewId="0">
      <selection activeCell="K9" activeCellId="2" sqref="C9 G9 K9"/>
    </sheetView>
  </sheetViews>
  <sheetFormatPr defaultRowHeight="14.6" x14ac:dyDescent="0.4"/>
  <cols>
    <col min="1" max="1" width="21.15234375" bestFit="1" customWidth="1"/>
    <col min="2" max="2" width="12" bestFit="1" customWidth="1"/>
    <col min="3" max="3" width="13.53515625" bestFit="1" customWidth="1"/>
    <col min="5" max="5" width="21.15234375" bestFit="1" customWidth="1"/>
    <col min="6" max="6" width="12" bestFit="1" customWidth="1"/>
    <col min="7" max="7" width="13.53515625" bestFit="1" customWidth="1"/>
    <col min="9" max="9" width="21.15234375" bestFit="1" customWidth="1"/>
    <col min="10" max="10" width="12" bestFit="1" customWidth="1"/>
    <col min="11" max="11" width="13.53515625" bestFit="1" customWidth="1"/>
  </cols>
  <sheetData>
    <row r="1" spans="1:13" s="8" customFormat="1" x14ac:dyDescent="0.4">
      <c r="A1" s="10" t="s">
        <v>208</v>
      </c>
      <c r="E1" s="10" t="s">
        <v>207</v>
      </c>
      <c r="I1" s="10" t="s">
        <v>338</v>
      </c>
    </row>
    <row r="2" spans="1:13" s="8" customFormat="1" x14ac:dyDescent="0.4">
      <c r="A2" s="20"/>
      <c r="B2" s="35"/>
      <c r="E2" s="20"/>
      <c r="F2" s="35"/>
      <c r="I2" s="20"/>
      <c r="J2" s="35"/>
    </row>
    <row r="3" spans="1:13" ht="14.7" customHeight="1" x14ac:dyDescent="0.4">
      <c r="A3" s="8"/>
      <c r="C3" s="12">
        <v>3.41</v>
      </c>
      <c r="E3" s="8"/>
      <c r="G3" s="12">
        <v>3.97</v>
      </c>
      <c r="I3" s="8"/>
      <c r="K3" s="12">
        <v>4.54</v>
      </c>
      <c r="L3" s="96"/>
    </row>
    <row r="4" spans="1:13" x14ac:dyDescent="0.4">
      <c r="A4" s="13" t="s">
        <v>86</v>
      </c>
      <c r="B4" s="14" t="s">
        <v>99</v>
      </c>
      <c r="C4" s="14" t="s">
        <v>88</v>
      </c>
      <c r="E4" s="13" t="s">
        <v>86</v>
      </c>
      <c r="F4" s="14" t="s">
        <v>99</v>
      </c>
      <c r="G4" s="14" t="s">
        <v>88</v>
      </c>
      <c r="I4" s="13" t="s">
        <v>86</v>
      </c>
      <c r="J4" s="14" t="s">
        <v>99</v>
      </c>
      <c r="K4" s="14" t="s">
        <v>88</v>
      </c>
    </row>
    <row r="5" spans="1:13" x14ac:dyDescent="0.4">
      <c r="A5" t="s">
        <v>194</v>
      </c>
      <c r="B5" s="15">
        <v>1075461.7320675128</v>
      </c>
      <c r="C5" s="16">
        <v>3663826</v>
      </c>
      <c r="E5" t="s">
        <v>194</v>
      </c>
      <c r="F5" s="15">
        <v>1059147</v>
      </c>
      <c r="G5" s="16">
        <f>F5*$G$3</f>
        <v>4204813.59</v>
      </c>
      <c r="I5" t="s">
        <v>194</v>
      </c>
      <c r="J5" s="15">
        <v>1074720.0751011034</v>
      </c>
      <c r="K5" s="16">
        <f>J5*$K$3</f>
        <v>4879229.1409590095</v>
      </c>
      <c r="M5" s="44"/>
    </row>
    <row r="6" spans="1:13" x14ac:dyDescent="0.4">
      <c r="A6" t="s">
        <v>196</v>
      </c>
      <c r="B6" s="15">
        <v>121421.42689276834</v>
      </c>
      <c r="C6" s="16">
        <v>413652</v>
      </c>
      <c r="E6" t="s">
        <v>196</v>
      </c>
      <c r="F6" s="15">
        <v>121421</v>
      </c>
      <c r="G6" s="16">
        <f t="shared" ref="G6:G13" si="0">F6*$G$3</f>
        <v>482041.37</v>
      </c>
      <c r="I6" t="s">
        <v>196</v>
      </c>
      <c r="J6" s="15">
        <v>132408.79114461056</v>
      </c>
      <c r="K6" s="16">
        <f t="shared" ref="K6:K13" si="1">J6*$K$3</f>
        <v>601135.91179653199</v>
      </c>
      <c r="M6" s="44"/>
    </row>
    <row r="7" spans="1:13" x14ac:dyDescent="0.4">
      <c r="A7" t="s">
        <v>197</v>
      </c>
      <c r="B7" s="15">
        <v>57814.730923479161</v>
      </c>
      <c r="C7" s="16">
        <v>196960</v>
      </c>
      <c r="E7" t="s">
        <v>197</v>
      </c>
      <c r="F7" s="15">
        <v>58263</v>
      </c>
      <c r="G7" s="16">
        <f t="shared" si="0"/>
        <v>231304.11000000002</v>
      </c>
      <c r="I7" t="s">
        <v>197</v>
      </c>
      <c r="J7" s="15">
        <v>58263.192463850428</v>
      </c>
      <c r="K7" s="16">
        <f t="shared" si="1"/>
        <v>264514.89378588094</v>
      </c>
      <c r="M7" s="44"/>
    </row>
    <row r="8" spans="1:13" x14ac:dyDescent="0.4">
      <c r="A8" t="s">
        <v>198</v>
      </c>
      <c r="B8" s="15">
        <v>537962.332719445</v>
      </c>
      <c r="C8" s="16">
        <v>1832701</v>
      </c>
      <c r="E8" t="s">
        <v>198</v>
      </c>
      <c r="F8" s="15">
        <v>552478</v>
      </c>
      <c r="G8" s="16">
        <f t="shared" si="0"/>
        <v>2193337.66</v>
      </c>
      <c r="I8" t="s">
        <v>198</v>
      </c>
      <c r="J8" s="15">
        <v>548364.43485711806</v>
      </c>
      <c r="K8" s="16">
        <f t="shared" si="1"/>
        <v>2489574.534251316</v>
      </c>
      <c r="M8" s="44"/>
    </row>
    <row r="9" spans="1:13" x14ac:dyDescent="0.4">
      <c r="A9" t="s">
        <v>199</v>
      </c>
      <c r="B9" s="15">
        <v>120155.48460329951</v>
      </c>
      <c r="C9" s="16">
        <v>409339</v>
      </c>
      <c r="E9" t="s">
        <v>199</v>
      </c>
      <c r="F9" s="15">
        <v>120155</v>
      </c>
      <c r="G9" s="16">
        <f t="shared" si="0"/>
        <v>477015.35000000003</v>
      </c>
      <c r="I9" t="s">
        <v>199</v>
      </c>
      <c r="J9" s="15">
        <v>119265.35530160108</v>
      </c>
      <c r="K9" s="16">
        <f t="shared" si="1"/>
        <v>541464.71306926897</v>
      </c>
      <c r="M9" s="44"/>
    </row>
    <row r="10" spans="1:13" x14ac:dyDescent="0.4">
      <c r="A10" t="s">
        <v>201</v>
      </c>
      <c r="B10" s="15">
        <v>280022.39987629937</v>
      </c>
      <c r="C10" s="16">
        <v>953965</v>
      </c>
      <c r="E10" t="s">
        <v>201</v>
      </c>
      <c r="F10" s="15">
        <v>265674</v>
      </c>
      <c r="G10" s="16">
        <f t="shared" si="0"/>
        <v>1054725.78</v>
      </c>
      <c r="I10" t="s">
        <v>201</v>
      </c>
      <c r="J10" s="15">
        <v>315635.41302808712</v>
      </c>
      <c r="K10" s="16">
        <f t="shared" si="1"/>
        <v>1432984.7751475156</v>
      </c>
      <c r="M10" s="44"/>
    </row>
    <row r="11" spans="1:13" x14ac:dyDescent="0.4">
      <c r="A11" t="s">
        <v>200</v>
      </c>
      <c r="B11" s="15">
        <v>106166.70000000001</v>
      </c>
      <c r="C11" s="16">
        <v>361683</v>
      </c>
      <c r="E11" t="s">
        <v>200</v>
      </c>
      <c r="F11" s="15">
        <v>105746</v>
      </c>
      <c r="G11" s="16">
        <f t="shared" si="0"/>
        <v>419811.62</v>
      </c>
      <c r="I11" t="s">
        <v>200</v>
      </c>
      <c r="J11" s="15">
        <v>105746.41</v>
      </c>
      <c r="K11" s="16">
        <f t="shared" si="1"/>
        <v>480088.70140000002</v>
      </c>
      <c r="M11" s="44"/>
    </row>
    <row r="12" spans="1:13" x14ac:dyDescent="0.4">
      <c r="A12" t="s">
        <v>195</v>
      </c>
      <c r="B12" s="15">
        <v>59008.361666666671</v>
      </c>
      <c r="C12" s="16">
        <v>201027</v>
      </c>
      <c r="E12" t="s">
        <v>195</v>
      </c>
      <c r="F12" s="15">
        <v>99140</v>
      </c>
      <c r="G12" s="16">
        <f t="shared" si="0"/>
        <v>393585.80000000005</v>
      </c>
      <c r="I12" t="s">
        <v>195</v>
      </c>
      <c r="J12" s="15">
        <v>99598.392846122995</v>
      </c>
      <c r="K12" s="16">
        <f t="shared" si="1"/>
        <v>452176.70352139842</v>
      </c>
      <c r="M12" s="44"/>
    </row>
    <row r="13" spans="1:13" x14ac:dyDescent="0.4">
      <c r="A13" t="s">
        <v>202</v>
      </c>
      <c r="B13" s="15">
        <v>390796.88477064227</v>
      </c>
      <c r="C13" s="16">
        <v>1331346</v>
      </c>
      <c r="E13" t="s">
        <v>202</v>
      </c>
      <c r="F13" s="15">
        <v>396133</v>
      </c>
      <c r="G13" s="16">
        <f t="shared" si="0"/>
        <v>1572648.01</v>
      </c>
      <c r="I13" t="s">
        <v>202</v>
      </c>
      <c r="J13" s="15">
        <v>377998.91813531332</v>
      </c>
      <c r="K13" s="16">
        <f t="shared" si="1"/>
        <v>1716115.0883343224</v>
      </c>
      <c r="M13" s="44"/>
    </row>
    <row r="14" spans="1:13" ht="15" thickBot="1" x14ac:dyDescent="0.45">
      <c r="A14" s="8"/>
      <c r="B14" s="17">
        <f>SUM(B5:B13)</f>
        <v>2748810.0535201132</v>
      </c>
      <c r="C14" s="18">
        <f>SUM(C5:C13)</f>
        <v>9364499</v>
      </c>
      <c r="E14" s="8"/>
      <c r="F14" s="17">
        <f>SUM(F5:F13)</f>
        <v>2778157</v>
      </c>
      <c r="G14" s="18">
        <f>SUM(G5:G13)</f>
        <v>11029283.289999999</v>
      </c>
      <c r="I14" s="8"/>
      <c r="J14" s="17">
        <f>SUM(J5:J13)</f>
        <v>2832000.9828778072</v>
      </c>
      <c r="K14" s="18">
        <f>SUM(K5:K13)</f>
        <v>12857284.462265246</v>
      </c>
      <c r="M14" s="44"/>
    </row>
    <row r="15" spans="1:13" x14ac:dyDescent="0.4">
      <c r="M15" s="44"/>
    </row>
    <row r="17" spans="1:11" x14ac:dyDescent="0.4">
      <c r="A17" t="s">
        <v>88</v>
      </c>
      <c r="C17" s="36">
        <f>C14</f>
        <v>9364499</v>
      </c>
      <c r="E17" t="s">
        <v>88</v>
      </c>
      <c r="G17" s="36">
        <f>G14</f>
        <v>11029283.289999999</v>
      </c>
      <c r="I17" t="s">
        <v>88</v>
      </c>
      <c r="K17" s="36">
        <f>K14</f>
        <v>12857284.462265246</v>
      </c>
    </row>
    <row r="18" spans="1:11" x14ac:dyDescent="0.4">
      <c r="A18" t="s">
        <v>209</v>
      </c>
      <c r="C18" s="36">
        <f>'Project Status'!U52</f>
        <v>10790921.719999999</v>
      </c>
      <c r="E18" t="s">
        <v>209</v>
      </c>
      <c r="G18" s="36">
        <f>'Project Status'!T52</f>
        <v>3211739</v>
      </c>
      <c r="I18" t="s">
        <v>209</v>
      </c>
      <c r="K18" s="36">
        <f>'Project Status'!Y52</f>
        <v>0</v>
      </c>
    </row>
    <row r="19" spans="1:11" ht="15" thickBot="1" x14ac:dyDescent="0.45">
      <c r="A19" t="s">
        <v>123</v>
      </c>
      <c r="C19" s="76">
        <f>C17-C18</f>
        <v>-1426422.7199999988</v>
      </c>
      <c r="E19" t="s">
        <v>123</v>
      </c>
      <c r="G19" s="76">
        <f>G17-G18</f>
        <v>7817544.2899999991</v>
      </c>
      <c r="I19" t="s">
        <v>123</v>
      </c>
      <c r="K19" s="76">
        <f>K17-K18</f>
        <v>12857284.462265246</v>
      </c>
    </row>
    <row r="24" spans="1:11" x14ac:dyDescent="0.4">
      <c r="A24" s="19"/>
      <c r="E24" s="19"/>
      <c r="I24" s="19"/>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7F2E-F84B-4241-8CB4-0A3CBAD2CEE9}">
  <sheetPr>
    <tabColor theme="1" tint="0.499984740745262"/>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6.69140625" bestFit="1" customWidth="1"/>
    <col min="4" max="4" width="40.15234375" bestFit="1" customWidth="1"/>
    <col min="5" max="5" width="30.3828125" bestFit="1" customWidth="1"/>
    <col min="6" max="6" width="17.53515625" bestFit="1" customWidth="1"/>
    <col min="7" max="7" width="12.3046875" bestFit="1" customWidth="1"/>
    <col min="8" max="8" width="16.53515625" bestFit="1" customWidth="1"/>
    <col min="9" max="9" width="11.382812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20832</v>
      </c>
      <c r="B4" s="11">
        <f>VLOOKUP(A4,'Project Status'!C:D,2,FALSE)</f>
        <v>8220</v>
      </c>
      <c r="C4" s="11">
        <f>VLOOKUP(A4,'Project Status'!C:E,3,FALSE)</f>
        <v>0</v>
      </c>
      <c r="D4" s="11" t="str">
        <f>VLOOKUP(A4,'Project Status'!C:F,4,FALSE)</f>
        <v>12000 - Arts and Science: Office of the Dean</v>
      </c>
      <c r="E4" s="11" t="str">
        <f>VLOOKUP(A4,'Project Status'!C:I,7,FALSE)</f>
        <v>Wilson Hall - HVAC Replacement</v>
      </c>
      <c r="F4" s="11" t="str">
        <f>VLOOKUP(A4,'Project Status'!C:J,8,FALSE)</f>
        <v>Financial Closeout</v>
      </c>
      <c r="G4" s="11" t="str">
        <f>VLOOKUP(A4,'Project Status'!C:K,9,FALSE)</f>
        <v>Sean Rewers</v>
      </c>
      <c r="H4" s="99">
        <f>VLOOKUP(A4,'Project Status'!C:M,11,FALSE)</f>
        <v>24000</v>
      </c>
      <c r="I4" s="202">
        <f>VLOOKUP(B4,'Project Status'!D:N,11,FALSE)</f>
        <v>24000</v>
      </c>
    </row>
    <row r="8" spans="1:11" x14ac:dyDescent="0.4">
      <c r="E8" s="42" t="s">
        <v>124</v>
      </c>
    </row>
    <row r="9" spans="1:11" x14ac:dyDescent="0.4">
      <c r="E9" s="22" t="s">
        <v>340</v>
      </c>
      <c r="F9" t="s">
        <v>139</v>
      </c>
      <c r="H9" s="43">
        <v>24000</v>
      </c>
    </row>
    <row r="10" spans="1:11" x14ac:dyDescent="0.4">
      <c r="E10" s="22"/>
      <c r="H10" s="43"/>
    </row>
    <row r="12" spans="1:11" x14ac:dyDescent="0.4">
      <c r="F12" s="10"/>
      <c r="G12" s="10"/>
      <c r="H12" s="46"/>
    </row>
    <row r="18" spans="5:8" x14ac:dyDescent="0.4">
      <c r="E18" s="161" t="s">
        <v>271</v>
      </c>
      <c r="F18" s="162"/>
      <c r="G18" s="161"/>
      <c r="H18" s="163">
        <f>SUM(H9:H17)</f>
        <v>24000</v>
      </c>
    </row>
    <row r="20" spans="5:8" x14ac:dyDescent="0.4">
      <c r="E20" s="164" t="s">
        <v>136</v>
      </c>
      <c r="F20" s="164"/>
      <c r="G20" s="164"/>
      <c r="H20" s="165">
        <f>H4-H18</f>
        <v>0</v>
      </c>
    </row>
  </sheetData>
  <hyperlinks>
    <hyperlink ref="K1" location="'Project Status'!A1" display="'Project Status'!A1" xr:uid="{9BBBF562-A58E-43EF-88BF-D8E408EC28D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B043-DAD8-4B06-A827-AEFDC537BC51}">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6.69140625" bestFit="1" customWidth="1"/>
    <col min="4" max="4" width="40.15234375" bestFit="1" customWidth="1"/>
    <col min="5" max="5" width="27.69140625" bestFit="1" customWidth="1"/>
    <col min="6" max="6" width="7" bestFit="1" customWidth="1"/>
    <col min="7" max="7" width="12.3046875" bestFit="1" customWidth="1"/>
    <col min="8" max="8" width="16.5351562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20833</v>
      </c>
      <c r="B4" s="11">
        <f>VLOOKUP(A4,'Project Status'!C:D,2,FALSE)</f>
        <v>8215</v>
      </c>
      <c r="C4" s="11">
        <f>VLOOKUP(A4,'Project Status'!C:E,3,FALSE)</f>
        <v>0</v>
      </c>
      <c r="D4" s="11" t="str">
        <f>VLOOKUP(A4,'Project Status'!C:F,4,FALSE)</f>
        <v>12000 - Arts and Science: Office of the Dean</v>
      </c>
      <c r="E4" s="11" t="str">
        <f>VLOOKUP(A4,'Project Status'!C:I,7,FALSE)</f>
        <v>SC5 - HVAC Replacement</v>
      </c>
      <c r="F4" s="11" t="str">
        <f>VLOOKUP(A4,'Project Status'!C:J,8,FALSE)</f>
        <v>Warranty or Construction Closeout</v>
      </c>
      <c r="G4" s="11" t="str">
        <f>VLOOKUP(A4,'Project Status'!C:K,9,FALSE)</f>
        <v>Sean Rewers</v>
      </c>
      <c r="H4" s="99">
        <f>VLOOKUP(A4,'Project Status'!C:M,11,FALSE)</f>
        <v>24000</v>
      </c>
    </row>
    <row r="8" spans="1:11" x14ac:dyDescent="0.4">
      <c r="E8" s="42" t="s">
        <v>124</v>
      </c>
    </row>
    <row r="9" spans="1:11" x14ac:dyDescent="0.4">
      <c r="E9" s="22" t="s">
        <v>340</v>
      </c>
      <c r="F9" t="s">
        <v>139</v>
      </c>
      <c r="H9" s="43">
        <v>24000</v>
      </c>
    </row>
    <row r="10" spans="1:11" x14ac:dyDescent="0.4">
      <c r="E10" s="22"/>
      <c r="H10" s="43"/>
    </row>
    <row r="12" spans="1:11" x14ac:dyDescent="0.4">
      <c r="F12" s="10"/>
      <c r="G12" s="10"/>
      <c r="H12" s="46"/>
    </row>
    <row r="18" spans="5:8" x14ac:dyDescent="0.4">
      <c r="E18" s="161" t="s">
        <v>271</v>
      </c>
      <c r="F18" s="162"/>
      <c r="G18" s="161"/>
      <c r="H18" s="163">
        <f>SUM(H9:H17)</f>
        <v>24000</v>
      </c>
    </row>
    <row r="20" spans="5:8" x14ac:dyDescent="0.4">
      <c r="E20" s="164" t="s">
        <v>136</v>
      </c>
      <c r="F20" s="164"/>
      <c r="G20" s="164"/>
      <c r="H20" s="165">
        <f>H4-H18</f>
        <v>0</v>
      </c>
    </row>
  </sheetData>
  <hyperlinks>
    <hyperlink ref="K1" location="'Project Status'!A1" display="'Project Status'!A1" xr:uid="{B25E1A88-3C72-4B3E-99ED-E68E24C515C3}"/>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8A04-F557-4BEB-A4C1-92583AFD49FF}">
  <sheetPr>
    <tabColor theme="4"/>
  </sheetPr>
  <dimension ref="A1:K20"/>
  <sheetViews>
    <sheetView zoomScale="90" zoomScaleNormal="90" workbookViewId="0">
      <selection activeCell="E10" sqref="E1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20857</v>
      </c>
      <c r="B4" s="11">
        <f>VLOOKUP(A4,'Project Status'!C:D,2,FALSE)</f>
        <v>8427</v>
      </c>
      <c r="C4" s="11" t="str">
        <f>VLOOKUP(A4,'Project Status'!C:E,3,FALSE)</f>
        <v>CP_400227</v>
      </c>
      <c r="D4" s="11" t="str">
        <f>VLOOKUP(A4,'Project Status'!C:F,4,FALSE)</f>
        <v>21000 - Peabody College: Office of the Dean</v>
      </c>
      <c r="E4" s="11" t="str">
        <f>VLOOKUP(A4,'Project Status'!C:I,7,FALSE)</f>
        <v>One Magnolia Circle - Elevator Modernization</v>
      </c>
      <c r="F4" s="11" t="str">
        <f>VLOOKUP(A4,'Project Status'!C:J,8,FALSE)</f>
        <v>Bidding</v>
      </c>
      <c r="G4" s="11" t="str">
        <f>VLOOKUP(A4,'Project Status'!C:K,9,FALSE)</f>
        <v>Ben Bedock</v>
      </c>
      <c r="H4" s="99">
        <f>VLOOKUP(A4,'Project Status'!C:M,11,FALSE)</f>
        <v>21600</v>
      </c>
    </row>
    <row r="8" spans="1:11" x14ac:dyDescent="0.4">
      <c r="E8" s="42" t="s">
        <v>124</v>
      </c>
    </row>
    <row r="9" spans="1:11" x14ac:dyDescent="0.4">
      <c r="E9" s="22" t="s">
        <v>356</v>
      </c>
      <c r="F9" t="s">
        <v>139</v>
      </c>
      <c r="H9" s="43">
        <v>17600</v>
      </c>
    </row>
    <row r="10" spans="1:11" x14ac:dyDescent="0.4">
      <c r="E10" s="22" t="s">
        <v>382</v>
      </c>
      <c r="F10" t="s">
        <v>214</v>
      </c>
      <c r="H10" s="43">
        <v>4000</v>
      </c>
    </row>
    <row r="12" spans="1:11" x14ac:dyDescent="0.4">
      <c r="F12" s="10"/>
      <c r="G12" s="10"/>
      <c r="H12" s="46"/>
    </row>
    <row r="18" spans="5:8" x14ac:dyDescent="0.4">
      <c r="E18" s="161" t="s">
        <v>271</v>
      </c>
      <c r="F18" s="162"/>
      <c r="G18" s="161"/>
      <c r="H18" s="163">
        <f>SUM(H9:H17)</f>
        <v>21600</v>
      </c>
    </row>
    <row r="20" spans="5:8" x14ac:dyDescent="0.4">
      <c r="E20" s="164" t="s">
        <v>136</v>
      </c>
      <c r="F20" s="164"/>
      <c r="G20" s="164"/>
      <c r="H20" s="165">
        <f>H4-H18</f>
        <v>0</v>
      </c>
    </row>
  </sheetData>
  <hyperlinks>
    <hyperlink ref="K1" location="'Project Status'!A1" display="'Project Status'!A1" xr:uid="{44D30970-1FF4-45A8-8754-6C4835EEDD6D}"/>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1536-9786-4DDC-9770-8B1EBD7CAD59}">
  <sheetPr>
    <tabColor theme="4"/>
  </sheetPr>
  <dimension ref="A1:K20"/>
  <sheetViews>
    <sheetView zoomScale="90" zoomScaleNormal="90" workbookViewId="0">
      <selection activeCell="E9" sqref="E9"/>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20885</v>
      </c>
      <c r="B4" s="11">
        <f>VLOOKUP(A4,'Project Status'!C:D,2,FALSE)</f>
        <v>8676</v>
      </c>
      <c r="C4" s="11">
        <f>VLOOKUP(A4,'Project Status'!C:E,3,FALSE)</f>
        <v>0</v>
      </c>
      <c r="D4" s="11" t="str">
        <f>VLOOKUP(A4,'Project Status'!C:F,4,FALSE)</f>
        <v>18200 - Basic Sciences: Office of the Dean</v>
      </c>
      <c r="E4" s="11" t="str">
        <f>VLOOKUP(A4,'Project Status'!C:I,7,FALSE)</f>
        <v>NMR - Replace Air Compressors</v>
      </c>
      <c r="F4" s="11" t="str">
        <f>VLOOKUP(A4,'Project Status'!C:J,8,FALSE)</f>
        <v>Award</v>
      </c>
      <c r="G4" s="11" t="str">
        <f>VLOOKUP(A4,'Project Status'!C:K,9,FALSE)</f>
        <v>Sean Rewers</v>
      </c>
      <c r="H4" s="99">
        <f>VLOOKUP(A4,'Project Status'!C:M,11,FALSE)</f>
        <v>98341</v>
      </c>
    </row>
    <row r="8" spans="1:11" x14ac:dyDescent="0.4">
      <c r="E8" s="42" t="s">
        <v>124</v>
      </c>
    </row>
    <row r="9" spans="1:11" x14ac:dyDescent="0.4">
      <c r="E9" s="22" t="s">
        <v>405</v>
      </c>
      <c r="F9" t="s">
        <v>214</v>
      </c>
      <c r="H9" s="43">
        <v>98341</v>
      </c>
    </row>
    <row r="12" spans="1:11" x14ac:dyDescent="0.4">
      <c r="F12" s="10"/>
      <c r="G12" s="10"/>
      <c r="H12" s="46"/>
    </row>
    <row r="18" spans="5:8" x14ac:dyDescent="0.4">
      <c r="E18" s="161" t="s">
        <v>271</v>
      </c>
      <c r="F18" s="162"/>
      <c r="G18" s="161"/>
      <c r="H18" s="163">
        <f>SUM(H9:H17)</f>
        <v>98341</v>
      </c>
    </row>
    <row r="20" spans="5:8" x14ac:dyDescent="0.4">
      <c r="E20" s="164" t="s">
        <v>136</v>
      </c>
      <c r="F20" s="164"/>
      <c r="G20" s="164"/>
      <c r="H20" s="165">
        <f>H4-H18</f>
        <v>0</v>
      </c>
    </row>
  </sheetData>
  <hyperlinks>
    <hyperlink ref="K1" location="'Project Status'!A1" display="'Project Status'!A1" xr:uid="{BBB58F13-EE47-4C84-86AC-49A8F38EFDC1}"/>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FA448-F662-4D3F-98EA-55FC35F50E0A}">
  <sheetPr>
    <tabColor theme="4"/>
  </sheetPr>
  <dimension ref="A1:K20"/>
  <sheetViews>
    <sheetView zoomScale="90" zoomScaleNormal="90" workbookViewId="0">
      <selection activeCell="E9" sqref="E9"/>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20911</v>
      </c>
      <c r="B4" s="11">
        <f>VLOOKUP(A4,'Project Status'!C:D,2,FALSE)</f>
        <v>8819</v>
      </c>
      <c r="C4" s="11">
        <f>VLOOKUP(A4,'Project Status'!C:E,3,FALSE)</f>
        <v>0</v>
      </c>
      <c r="D4" s="11" t="str">
        <f>VLOOKUP(A4,'Project Status'!C:F,4,FALSE)</f>
        <v>12000 - Arts and Science: Office of the Dean</v>
      </c>
      <c r="E4" s="11" t="str">
        <f>VLOOKUP(A4,'Project Status'!C:I,7,FALSE)</f>
        <v>Buttrick Hall - Elevator Upgrades</v>
      </c>
      <c r="F4" s="11" t="str">
        <f>VLOOKUP(A4,'Project Status'!C:J,8,FALSE)</f>
        <v>Bidding</v>
      </c>
      <c r="G4" s="11" t="str">
        <f>VLOOKUP(A4,'Project Status'!C:K,9,FALSE)</f>
        <v>Ben Bedock</v>
      </c>
      <c r="H4" s="99">
        <f>VLOOKUP(A4,'Project Status'!C:M,11,FALSE)</f>
        <v>4100</v>
      </c>
    </row>
    <row r="8" spans="1:11" x14ac:dyDescent="0.4">
      <c r="E8" s="42" t="s">
        <v>124</v>
      </c>
    </row>
    <row r="9" spans="1:11" x14ac:dyDescent="0.4">
      <c r="E9" s="22" t="s">
        <v>405</v>
      </c>
      <c r="F9" t="s">
        <v>139</v>
      </c>
      <c r="H9" s="43">
        <v>4100</v>
      </c>
    </row>
    <row r="10" spans="1:11" x14ac:dyDescent="0.4">
      <c r="E10" s="22"/>
      <c r="H10" s="43"/>
    </row>
    <row r="12" spans="1:11" x14ac:dyDescent="0.4">
      <c r="F12" s="10"/>
      <c r="G12" s="10"/>
      <c r="H12" s="46"/>
    </row>
    <row r="18" spans="5:8" x14ac:dyDescent="0.4">
      <c r="E18" s="161" t="s">
        <v>271</v>
      </c>
      <c r="F18" s="162"/>
      <c r="G18" s="161"/>
      <c r="H18" s="163">
        <f>SUM(H9:H17)</f>
        <v>4100</v>
      </c>
    </row>
    <row r="20" spans="5:8" x14ac:dyDescent="0.4">
      <c r="E20" s="164" t="s">
        <v>136</v>
      </c>
      <c r="F20" s="164"/>
      <c r="G20" s="164"/>
      <c r="H20" s="165">
        <f>H4-H18</f>
        <v>0</v>
      </c>
    </row>
  </sheetData>
  <hyperlinks>
    <hyperlink ref="K1" location="'Project Status'!A1" display="'Project Status'!A1" xr:uid="{35E76966-DD8F-4772-BA40-8D915A539AE1}"/>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1DB6-B120-4352-AFB9-C529CE0F00D7}">
  <sheetPr>
    <tabColor theme="4"/>
  </sheetPr>
  <dimension ref="A1:K20"/>
  <sheetViews>
    <sheetView zoomScale="90" zoomScaleNormal="90" workbookViewId="0">
      <selection activeCell="E9" sqref="E9"/>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20912</v>
      </c>
      <c r="B4" s="11">
        <f>VLOOKUP(A4,'Project Status'!C:D,2,FALSE)</f>
        <v>8822</v>
      </c>
      <c r="C4" s="11">
        <f>VLOOKUP(A4,'Project Status'!C:E,3,FALSE)</f>
        <v>0</v>
      </c>
      <c r="D4" s="11" t="str">
        <f>VLOOKUP(A4,'Project Status'!C:F,4,FALSE)</f>
        <v>12000 - Arts and Science: Office of the Dean</v>
      </c>
      <c r="E4" s="11" t="str">
        <f>VLOOKUP(A4,'Project Status'!C:I,7,FALSE)</f>
        <v>Benson Hall - Elevator Upgrades</v>
      </c>
      <c r="F4" s="11" t="str">
        <f>VLOOKUP(A4,'Project Status'!C:J,8,FALSE)</f>
        <v>Bidding</v>
      </c>
      <c r="G4" s="11" t="str">
        <f>VLOOKUP(A4,'Project Status'!C:K,9,FALSE)</f>
        <v>Ben Bedock</v>
      </c>
      <c r="H4" s="99">
        <f>VLOOKUP(A4,'Project Status'!C:M,11,FALSE)</f>
        <v>4100</v>
      </c>
    </row>
    <row r="8" spans="1:11" x14ac:dyDescent="0.4">
      <c r="E8" s="42" t="s">
        <v>124</v>
      </c>
    </row>
    <row r="9" spans="1:11" x14ac:dyDescent="0.4">
      <c r="E9" s="22" t="s">
        <v>405</v>
      </c>
      <c r="F9" t="s">
        <v>139</v>
      </c>
      <c r="H9" s="43">
        <v>4100</v>
      </c>
    </row>
    <row r="10" spans="1:11" x14ac:dyDescent="0.4">
      <c r="E10" s="22"/>
      <c r="H10" s="43"/>
    </row>
    <row r="12" spans="1:11" x14ac:dyDescent="0.4">
      <c r="F12" s="10"/>
      <c r="G12" s="10"/>
      <c r="H12" s="46"/>
    </row>
    <row r="18" spans="5:8" x14ac:dyDescent="0.4">
      <c r="E18" s="161" t="s">
        <v>271</v>
      </c>
      <c r="F18" s="162"/>
      <c r="G18" s="161"/>
      <c r="H18" s="163">
        <f>SUM(H9:H17)</f>
        <v>4100</v>
      </c>
    </row>
    <row r="20" spans="5:8" x14ac:dyDescent="0.4">
      <c r="E20" s="164" t="s">
        <v>136</v>
      </c>
      <c r="F20" s="164"/>
      <c r="G20" s="164"/>
      <c r="H20" s="165">
        <f>H4-H18</f>
        <v>0</v>
      </c>
    </row>
  </sheetData>
  <hyperlinks>
    <hyperlink ref="K1" location="'Project Status'!A1" display="'Project Status'!A1" xr:uid="{76797D86-7F8C-45BA-941C-B03DD87AC227}"/>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23B0B-4EBF-476B-BB3C-26DC893C8FE7}">
  <sheetPr>
    <tabColor theme="4"/>
  </sheetPr>
  <dimension ref="A1:K20"/>
  <sheetViews>
    <sheetView zoomScale="90" zoomScaleNormal="90" workbookViewId="0">
      <selection activeCell="E9" sqref="E9"/>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20913</v>
      </c>
      <c r="B4" s="11">
        <f>VLOOKUP(A4,'Project Status'!C:D,2,FALSE)</f>
        <v>8818</v>
      </c>
      <c r="C4" s="11">
        <f>VLOOKUP(A4,'Project Status'!C:E,3,FALSE)</f>
        <v>0</v>
      </c>
      <c r="D4" s="11" t="str">
        <f>VLOOKUP(A4,'Project Status'!C:F,4,FALSE)</f>
        <v>12000 - Arts and Science: Office of the Dean</v>
      </c>
      <c r="E4" s="11" t="str">
        <f>VLOOKUP(A4,'Project Status'!C:I,7,FALSE)</f>
        <v>Wilson Hall - Elevator Upgrades</v>
      </c>
      <c r="F4" s="11" t="str">
        <f>VLOOKUP(A4,'Project Status'!C:J,8,FALSE)</f>
        <v>Bidding</v>
      </c>
      <c r="G4" s="11" t="str">
        <f>VLOOKUP(A4,'Project Status'!C:K,9,FALSE)</f>
        <v>Ben Bedock</v>
      </c>
      <c r="H4" s="99">
        <f>VLOOKUP(A4,'Project Status'!C:M,11,FALSE)</f>
        <v>4100</v>
      </c>
    </row>
    <row r="8" spans="1:11" x14ac:dyDescent="0.4">
      <c r="E8" s="42" t="s">
        <v>124</v>
      </c>
    </row>
    <row r="9" spans="1:11" x14ac:dyDescent="0.4">
      <c r="E9" s="22" t="s">
        <v>405</v>
      </c>
      <c r="F9" t="s">
        <v>139</v>
      </c>
      <c r="H9" s="43">
        <v>4100</v>
      </c>
    </row>
    <row r="10" spans="1:11" x14ac:dyDescent="0.4">
      <c r="E10" s="22"/>
      <c r="H10" s="43"/>
    </row>
    <row r="12" spans="1:11" x14ac:dyDescent="0.4">
      <c r="F12" s="10"/>
      <c r="G12" s="10"/>
      <c r="H12" s="46"/>
    </row>
    <row r="18" spans="5:8" x14ac:dyDescent="0.4">
      <c r="E18" s="161" t="s">
        <v>271</v>
      </c>
      <c r="F18" s="162"/>
      <c r="G18" s="161"/>
      <c r="H18" s="163">
        <f>SUM(H9:H17)</f>
        <v>4100</v>
      </c>
    </row>
    <row r="20" spans="5:8" x14ac:dyDescent="0.4">
      <c r="E20" s="164" t="s">
        <v>136</v>
      </c>
      <c r="F20" s="164"/>
      <c r="G20" s="164"/>
      <c r="H20" s="165">
        <f>H4-H18</f>
        <v>0</v>
      </c>
    </row>
  </sheetData>
  <hyperlinks>
    <hyperlink ref="K1" location="'Project Status'!A1" display="'Project Status'!A1" xr:uid="{6DCB42CD-4205-4A73-82FB-AB2261487C46}"/>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A1:J24"/>
  <sheetViews>
    <sheetView zoomScaleNormal="100" workbookViewId="0"/>
  </sheetViews>
  <sheetFormatPr defaultRowHeight="14.6" x14ac:dyDescent="0.4"/>
  <cols>
    <col min="1" max="1" width="5.69140625" customWidth="1"/>
    <col min="2" max="2" width="23.3046875" bestFit="1" customWidth="1"/>
    <col min="3" max="3" width="14.3046875" style="43" bestFit="1" customWidth="1"/>
    <col min="4" max="4" width="5.69140625" customWidth="1"/>
    <col min="6" max="6" width="14.3046875" bestFit="1" customWidth="1"/>
    <col min="8" max="8" width="5.69140625" customWidth="1"/>
    <col min="20" max="20" width="9.3046875" customWidth="1"/>
  </cols>
  <sheetData>
    <row r="1" spans="1:10" x14ac:dyDescent="0.4">
      <c r="A1" s="166" t="s">
        <v>276</v>
      </c>
    </row>
    <row r="2" spans="1:10" x14ac:dyDescent="0.4">
      <c r="B2" s="47" t="s">
        <v>140</v>
      </c>
    </row>
    <row r="3" spans="1:10" x14ac:dyDescent="0.4">
      <c r="B3" t="s">
        <v>142</v>
      </c>
    </row>
    <row r="4" spans="1:10" x14ac:dyDescent="0.4">
      <c r="B4" s="48" t="s">
        <v>141</v>
      </c>
      <c r="C4" s="49">
        <f>Contributions!C14</f>
        <v>9364499</v>
      </c>
    </row>
    <row r="5" spans="1:10" x14ac:dyDescent="0.4">
      <c r="B5" s="53" t="s">
        <v>145</v>
      </c>
      <c r="C5" s="54">
        <f>SUM(C1:C4)</f>
        <v>9364499</v>
      </c>
      <c r="J5" s="22"/>
    </row>
    <row r="8" spans="1:10" x14ac:dyDescent="0.4">
      <c r="B8" t="s">
        <v>143</v>
      </c>
      <c r="F8" s="44"/>
    </row>
    <row r="9" spans="1:10" x14ac:dyDescent="0.4">
      <c r="B9" s="22" t="s">
        <v>134</v>
      </c>
      <c r="C9" s="43">
        <f>SUMIF('10085'!$E:$E,'JE LOG_FY23'!B9,'10085'!$H:$H)+SUMIF('10098'!$E:$E,'JE LOG_FY23'!B9,'10098'!$H:$H)+SUMIF('10146'!$E:$E,'JE LOG_FY23'!B9,'10146'!$H:$H)+SUMIF('20179'!$E:$E,'JE LOG_FY23'!B9,'20179'!$H:$H)+SUMIF('20336'!$E:$E,'JE LOG_FY23'!B9,'20336'!$H:$H)+SUMIF('20431'!$E:$E,'JE LOG_FY23'!B9,'20431'!$H:$H)+SUMIF('20478'!$E:$E,'JE LOG_FY23'!B9,'20478'!$H:$H)+SUMIF('20489'!$E:$E,'JE LOG_FY23'!B9,'20489'!$H:$H)+SUMIF('20497'!$E:$E,'JE LOG_FY23'!B9,'20497'!$H:$H)+SUMIF('20506'!$E:$E,'JE LOG_FY23'!B9,'20506'!$H:$H)++SUMIF('20562'!$E:$E,'JE LOG_FY23'!B9,'20562'!$H:$H)+SUMIF('20566'!$E:$E,'JE LOG_FY23'!B9,'20566'!$H:$H)+SUMIF('20573'!$E:$E,'JE LOG_FY23'!B9,'20573'!$H:$H)+SUMIF('20574'!$E:$E,'JE LOG_FY23'!B9,'20574'!$H:$H)+SUMIF('20577'!$E:$E,'JE LOG_FY23'!B9,'20577'!$H:$H)+SUMIF('20644'!$E:$E,'JE LOG_FY23'!B9,'20644'!$H:$H)+SUMIF('20645'!$E:$E,'JE LOG_FY23'!B9,'20645'!$H:$H)+SUMIF('20667'!$E:$E,'JE LOG_FY23'!B9,'20667'!$H:$H)+SUMIF('20668'!$E:$E,'JE LOG_FY23'!B9,'20668'!$H:$H)+SUMIF('20698'!$E:$E,'JE LOG_FY23'!B9,'20698'!$H:$H)+SUMIF('20700'!$E:$E,'JE LOG_FY23'!B9,'20700'!$H:$H)+SUMIF('20701'!$E:$E,'JE LOG_FY23'!B9,'20701'!$H:$H)+SUMIF('20702'!$E:$E,'JE LOG_FY23'!B9,'20702'!$H:$H)+SUMIF('20718'!$E:$E,'JE LOG_FY23'!B9,'20718'!$H:$H)+SUMIF('20723'!$E:$E,'JE LOG_FY23'!B9,'20723'!$H:$H)+SUMIF('20724'!$E:$E,'JE LOG_FY23'!B9,'20724'!$H:$H)+SUMIF('20771'!$E:$E,'JE LOG_FY23'!B9,'20771'!$H:$H)+SUMIF('20735'!$E:$E,'JE LOG_FY23'!B9,'20735'!$H:$H)+SUMIF('20792'!$E:$E,'JE LOG_FY23'!B9,'20792'!$H:$H)</f>
        <v>2018595.5</v>
      </c>
      <c r="F9" s="157"/>
    </row>
    <row r="10" spans="1:10" x14ac:dyDescent="0.4">
      <c r="B10" s="22" t="s">
        <v>166</v>
      </c>
      <c r="C10" s="43">
        <f>SUMIF('10085'!$E:$E,'JE LOG_FY23'!B10,'10085'!$H:$H)+SUMIF('10098'!$E:$E,'JE LOG_FY23'!B10,'10098'!$H:$H)+SUMIF('10146'!$E:$E,'JE LOG_FY23'!B10,'10146'!$H:$H)+SUMIF('20179'!$E:$E,'JE LOG_FY23'!B10,'20179'!$H:$H)+SUMIF('20336'!$E:$E,'JE LOG_FY23'!B10,'20336'!$H:$H)+SUMIF('20431'!$E:$E,'JE LOG_FY23'!B10,'20431'!$H:$H)+SUMIF('20478'!$E:$E,'JE LOG_FY23'!B10,'20478'!$H:$H)+SUMIF('20489'!$E:$E,'JE LOG_FY23'!B10,'20489'!$H:$H)+SUMIF('20497'!$E:$E,'JE LOG_FY23'!B10,'20497'!$H:$H)+SUMIF('20506'!$E:$E,'JE LOG_FY23'!B10,'20506'!$H:$H)++SUMIF('20562'!$E:$E,'JE LOG_FY23'!B10,'20562'!$H:$H)+SUMIF('20566'!$E:$E,'JE LOG_FY23'!B10,'20566'!$H:$H)+SUMIF('20573'!$E:$E,'JE LOG_FY23'!B10,'20573'!$H:$H)+SUMIF('20574'!$E:$E,'JE LOG_FY23'!B10,'20574'!$H:$H)+SUMIF('20577'!$E:$E,'JE LOG_FY23'!B10,'20577'!$H:$H)+SUMIF('20644'!$E:$E,'JE LOG_FY23'!B10,'20644'!$H:$H)+SUMIF('20645'!$E:$E,'JE LOG_FY23'!B10,'20645'!$H:$H)+SUMIF('20667'!$E:$E,'JE LOG_FY23'!B10,'20667'!$H:$H)+SUMIF('20668'!$E:$E,'JE LOG_FY23'!B10,'20668'!$H:$H)+SUMIF('20698'!$E:$E,'JE LOG_FY23'!B10,'20698'!$H:$H)+SUMIF('20700'!$E:$E,'JE LOG_FY23'!B10,'20700'!$H:$H)+SUMIF('20701'!$E:$E,'JE LOG_FY23'!B10,'20701'!$H:$H)+SUMIF('20702'!$E:$E,'JE LOG_FY23'!B10,'20702'!$H:$H)+SUMIF('20718'!$E:$E,'JE LOG_FY23'!B10,'20718'!$H:$H)+SUMIF('20723'!$E:$E,'JE LOG_FY23'!B10,'20723'!$H:$H)+SUMIF('20724'!$E:$E,'JE LOG_FY23'!B10,'20724'!$H:$H)+SUMIF('20771'!$E:$E,'JE LOG_FY23'!B10,'20771'!$H:$H)+SUMIF('20735'!$E:$E,'JE LOG_FY23'!B10,'20735'!$H:$H)+SUMIF('20792'!$E:$E,'JE LOG_FY23'!B10,'20792'!$H:$H)</f>
        <v>85900</v>
      </c>
      <c r="F10" s="157"/>
    </row>
    <row r="11" spans="1:10" x14ac:dyDescent="0.4">
      <c r="B11" s="22" t="s">
        <v>175</v>
      </c>
      <c r="C11" s="43">
        <f>SUMIF('10085'!$E:$E,'JE LOG_FY23'!B11,'10085'!$H:$H)+SUMIF('10098'!$E:$E,'JE LOG_FY23'!B11,'10098'!$H:$H)+SUMIF('10146'!$E:$E,'JE LOG_FY23'!B11,'10146'!$H:$H)+SUMIF('20179'!$E:$E,'JE LOG_FY23'!B11,'20179'!$H:$H)+SUMIF('20336'!$E:$E,'JE LOG_FY23'!B11,'20336'!$H:$H)+SUMIF('20431'!$E:$E,'JE LOG_FY23'!B11,'20431'!$H:$H)+SUMIF('20478'!$E:$E,'JE LOG_FY23'!B11,'20478'!$H:$H)+SUMIF('20489'!$E:$E,'JE LOG_FY23'!B11,'20489'!$H:$H)+SUMIF('20497'!$E:$E,'JE LOG_FY23'!B11,'20497'!$H:$H)+SUMIF('20506'!$E:$E,'JE LOG_FY23'!B11,'20506'!$H:$H)++SUMIF('20562'!$E:$E,'JE LOG_FY23'!B11,'20562'!$H:$H)+SUMIF('20566'!$E:$E,'JE LOG_FY23'!B11,'20566'!$H:$H)+SUMIF('20573'!$E:$E,'JE LOG_FY23'!B11,'20573'!$H:$H)+SUMIF('20574'!$E:$E,'JE LOG_FY23'!B11,'20574'!$H:$H)+SUMIF('20577'!$E:$E,'JE LOG_FY23'!B11,'20577'!$H:$H)+SUMIF('20644'!$E:$E,'JE LOG_FY23'!B11,'20644'!$H:$H)+SUMIF('20645'!$E:$E,'JE LOG_FY23'!B11,'20645'!$H:$H)+SUMIF('20667'!$E:$E,'JE LOG_FY23'!B11,'20667'!$H:$H)+SUMIF('20668'!$E:$E,'JE LOG_FY23'!B11,'20668'!$H:$H)+SUMIF('20698'!$E:$E,'JE LOG_FY23'!B11,'20698'!$H:$H)+SUMIF('20700'!$E:$E,'JE LOG_FY23'!B11,'20700'!$H:$H)+SUMIF('20701'!$E:$E,'JE LOG_FY23'!B11,'20701'!$H:$H)+SUMIF('20702'!$E:$E,'JE LOG_FY23'!B11,'20702'!$H:$H)+SUMIF('20718'!$E:$E,'JE LOG_FY23'!B11,'20718'!$H:$H)+SUMIF('20723'!$E:$E,'JE LOG_FY23'!B11,'20723'!$H:$H)+SUMIF('20724'!$E:$E,'JE LOG_FY23'!B11,'20724'!$H:$H)+SUMIF('20771'!$E:$E,'JE LOG_FY23'!B11,'20771'!$H:$H)+SUMIF('20735'!$E:$E,'JE LOG_FY23'!B11,'20735'!$H:$H)+SUMIF('20792'!$E:$E,'JE LOG_FY23'!B11,'20792'!$H:$H)</f>
        <v>197362.5</v>
      </c>
      <c r="F11" s="157"/>
    </row>
    <row r="12" spans="1:10" x14ac:dyDescent="0.4">
      <c r="B12" s="22" t="s">
        <v>215</v>
      </c>
      <c r="C12" s="43">
        <f>SUMIF('10085'!$E:$E,'JE LOG_FY23'!B12,'10085'!$H:$H)+SUMIF('10098'!$E:$E,'JE LOG_FY23'!B12,'10098'!$H:$H)+SUMIF('10146'!$E:$E,'JE LOG_FY23'!B12,'10146'!$H:$H)+SUMIF('20179'!$E:$E,'JE LOG_FY23'!B12,'20179'!$H:$H)+SUMIF('20336'!$E:$E,'JE LOG_FY23'!B12,'20336'!$H:$H)+SUMIF('20431'!$E:$E,'JE LOG_FY23'!B12,'20431'!$H:$H)+SUMIF('20478'!$E:$E,'JE LOG_FY23'!B12,'20478'!$H:$H)+SUMIF('20489'!$E:$E,'JE LOG_FY23'!B12,'20489'!$H:$H)+SUMIF('20497'!$E:$E,'JE LOG_FY23'!B12,'20497'!$H:$H)+SUMIF('20506'!$E:$E,'JE LOG_FY23'!B12,'20506'!$H:$H)++SUMIF('20562'!$E:$E,'JE LOG_FY23'!B12,'20562'!$H:$H)+SUMIF('20566'!$E:$E,'JE LOG_FY23'!B12,'20566'!$H:$H)+SUMIF('20573'!$E:$E,'JE LOG_FY23'!B12,'20573'!$H:$H)+SUMIF('20574'!$E:$E,'JE LOG_FY23'!B12,'20574'!$H:$H)+SUMIF('20577'!$E:$E,'JE LOG_FY23'!B12,'20577'!$H:$H)+SUMIF('20644'!$E:$E,'JE LOG_FY23'!B12,'20644'!$H:$H)+SUMIF('20645'!$E:$E,'JE LOG_FY23'!B12,'20645'!$H:$H)+SUMIF('20667'!$E:$E,'JE LOG_FY23'!B12,'20667'!$H:$H)+SUMIF('20668'!$E:$E,'JE LOG_FY23'!B12,'20668'!$H:$H)+SUMIF('20698'!$E:$E,'JE LOG_FY23'!B12,'20698'!$H:$H)+SUMIF('20700'!$E:$E,'JE LOG_FY23'!B12,'20700'!$H:$H)+SUMIF('20701'!$E:$E,'JE LOG_FY23'!B12,'20701'!$H:$H)+SUMIF('20702'!$E:$E,'JE LOG_FY23'!B12,'20702'!$H:$H)+SUMIF('20718'!$E:$E,'JE LOG_FY23'!B12,'20718'!$H:$H)+SUMIF('20723'!$E:$E,'JE LOG_FY23'!B12,'20723'!$H:$H)+SUMIF('20724'!$E:$E,'JE LOG_FY23'!B12,'20724'!$H:$H)+SUMIF('20771'!$E:$E,'JE LOG_FY23'!B12,'20771'!$H:$H)+SUMIF('20735'!$E:$E,'JE LOG_FY23'!B12,'20735'!$H:$H)+SUMIF('20792'!$E:$E,'JE LOG_FY23'!B12,'20792'!$H:$H)</f>
        <v>791392</v>
      </c>
      <c r="F12" s="157"/>
    </row>
    <row r="13" spans="1:10" x14ac:dyDescent="0.4">
      <c r="B13" s="22" t="s">
        <v>226</v>
      </c>
      <c r="C13" s="43">
        <f>SUMIF('10085'!$E:$E,'JE LOG_FY23'!B13,'10085'!$H:$H)+SUMIF('10098'!$E:$E,'JE LOG_FY23'!B13,'10098'!$H:$H)+SUMIF('10146'!$E:$E,'JE LOG_FY23'!B13,'10146'!$H:$H)+SUMIF('20179'!$E:$E,'JE LOG_FY23'!B13,'20179'!$H:$H)+SUMIF('20336'!$E:$E,'JE LOG_FY23'!B13,'20336'!$H:$H)+SUMIF('20431'!$E:$E,'JE LOG_FY23'!B13,'20431'!$H:$H)+SUMIF('20478'!$E:$E,'JE LOG_FY23'!B13,'20478'!$H:$H)+SUMIF('20489'!$E:$E,'JE LOG_FY23'!B13,'20489'!$H:$H)+SUMIF('20497'!$E:$E,'JE LOG_FY23'!B13,'20497'!$H:$H)+SUMIF('20506'!$E:$E,'JE LOG_FY23'!B13,'20506'!$H:$H)++SUMIF('20562'!$E:$E,'JE LOG_FY23'!B13,'20562'!$H:$H)+SUMIF('20566'!$E:$E,'JE LOG_FY23'!B13,'20566'!$H:$H)+SUMIF('20573'!$E:$E,'JE LOG_FY23'!B13,'20573'!$H:$H)+SUMIF('20574'!$E:$E,'JE LOG_FY23'!B13,'20574'!$H:$H)+SUMIF('20577'!$E:$E,'JE LOG_FY23'!B13,'20577'!$H:$H)+SUMIF('20644'!$E:$E,'JE LOG_FY23'!B13,'20644'!$H:$H)+SUMIF('20645'!$E:$E,'JE LOG_FY23'!B13,'20645'!$H:$H)+SUMIF('20667'!$E:$E,'JE LOG_FY23'!B13,'20667'!$H:$H)+SUMIF('20668'!$E:$E,'JE LOG_FY23'!B13,'20668'!$H:$H)+SUMIF('20698'!$E:$E,'JE LOG_FY23'!B13,'20698'!$H:$H)+SUMIF('20700'!$E:$E,'JE LOG_FY23'!B13,'20700'!$H:$H)+SUMIF('20701'!$E:$E,'JE LOG_FY23'!B13,'20701'!$H:$H)+SUMIF('20702'!$E:$E,'JE LOG_FY23'!B13,'20702'!$H:$H)+SUMIF('20718'!$E:$E,'JE LOG_FY23'!B13,'20718'!$H:$H)+SUMIF('20723'!$E:$E,'JE LOG_FY23'!B13,'20723'!$H:$H)+SUMIF('20724'!$E:$E,'JE LOG_FY23'!B13,'20724'!$H:$H)+SUMIF('20771'!$E:$E,'JE LOG_FY23'!B13,'20771'!$H:$H)+SUMIF('20735'!$E:$E,'JE LOG_FY23'!B13,'20735'!$H:$H)+SUMIF('20792'!$E:$E,'JE LOG_FY23'!B13,'20792'!$H:$H)</f>
        <v>776870</v>
      </c>
      <c r="F13" s="157"/>
    </row>
    <row r="14" spans="1:10" x14ac:dyDescent="0.4">
      <c r="B14" s="22" t="s">
        <v>233</v>
      </c>
      <c r="C14" s="43">
        <f>SUMIF('10085'!$E:$E,'JE LOG_FY23'!B14,'10085'!$H:$H)+SUMIF('10098'!$E:$E,'JE LOG_FY23'!B14,'10098'!$H:$H)+SUMIF('10146'!$E:$E,'JE LOG_FY23'!B14,'10146'!$H:$H)+SUMIF('20179'!$E:$E,'JE LOG_FY23'!B14,'20179'!$H:$H)+SUMIF('20336'!$E:$E,'JE LOG_FY23'!B14,'20336'!$H:$H)+SUMIF('20431'!$E:$E,'JE LOG_FY23'!B14,'20431'!$H:$H)+SUMIF('20478'!$E:$E,'JE LOG_FY23'!B14,'20478'!$H:$H)+SUMIF('20489'!$E:$E,'JE LOG_FY23'!B14,'20489'!$H:$H)+SUMIF('20497'!$E:$E,'JE LOG_FY23'!B14,'20497'!$H:$H)+SUMIF('20506'!$E:$E,'JE LOG_FY23'!B14,'20506'!$H:$H)++SUMIF('20562'!$E:$E,'JE LOG_FY23'!B14,'20562'!$H:$H)+SUMIF('20566'!$E:$E,'JE LOG_FY23'!B14,'20566'!$H:$H)+SUMIF('20573'!$E:$E,'JE LOG_FY23'!B14,'20573'!$H:$H)+SUMIF('20574'!$E:$E,'JE LOG_FY23'!B14,'20574'!$H:$H)+SUMIF('20577'!$E:$E,'JE LOG_FY23'!B14,'20577'!$H:$H)+SUMIF('20644'!$E:$E,'JE LOG_FY23'!B14,'20644'!$H:$H)+SUMIF('20645'!$E:$E,'JE LOG_FY23'!B14,'20645'!$H:$H)+SUMIF('20667'!$E:$E,'JE LOG_FY23'!B14,'20667'!$H:$H)+SUMIF('20668'!$E:$E,'JE LOG_FY23'!B14,'20668'!$H:$H)+SUMIF('20698'!$E:$E,'JE LOG_FY23'!B14,'20698'!$H:$H)+SUMIF('20700'!$E:$E,'JE LOG_FY23'!B14,'20700'!$H:$H)+SUMIF('20701'!$E:$E,'JE LOG_FY23'!B14,'20701'!$H:$H)+SUMIF('20702'!$E:$E,'JE LOG_FY23'!B14,'20702'!$H:$H)+SUMIF('20718'!$E:$E,'JE LOG_FY23'!B14,'20718'!$H:$H)+SUMIF('20723'!$E:$E,'JE LOG_FY23'!B14,'20723'!$H:$H)+SUMIF('20724'!$E:$E,'JE LOG_FY23'!B14,'20724'!$H:$H)+SUMIF('20771'!$E:$E,'JE LOG_FY23'!B14,'20771'!$H:$H)+SUMIF('20735'!$E:$E,'JE LOG_FY23'!B14,'20735'!$H:$H)+SUMIF('20792'!$E:$E,'JE LOG_FY23'!B14,'20792'!$H:$H)</f>
        <v>823832</v>
      </c>
      <c r="F14" s="157"/>
    </row>
    <row r="15" spans="1:10" x14ac:dyDescent="0.4">
      <c r="B15" s="22" t="s">
        <v>240</v>
      </c>
      <c r="C15" s="43">
        <f>SUMIF('10085'!$E:$E,'JE LOG_FY23'!B15,'10085'!$H:$H)+SUMIF('10098'!$E:$E,'JE LOG_FY23'!B15,'10098'!$H:$H)+SUMIF('10146'!$E:$E,'JE LOG_FY23'!B15,'10146'!$H:$H)+SUMIF('20179'!$E:$E,'JE LOG_FY23'!B15,'20179'!$H:$H)+SUMIF('20336'!$E:$E,'JE LOG_FY23'!B15,'20336'!$H:$H)+SUMIF('20431'!$E:$E,'JE LOG_FY23'!B15,'20431'!$H:$H)+SUMIF('20478'!$E:$E,'JE LOG_FY23'!B15,'20478'!$H:$H)+SUMIF('20489'!$E:$E,'JE LOG_FY23'!B15,'20489'!$H:$H)+SUMIF('20497'!$E:$E,'JE LOG_FY23'!B15,'20497'!$H:$H)+SUMIF('20506'!$E:$E,'JE LOG_FY23'!B15,'20506'!$H:$H)++SUMIF('20562'!$E:$E,'JE LOG_FY23'!B15,'20562'!$H:$H)+SUMIF('20566'!$E:$E,'JE LOG_FY23'!B15,'20566'!$H:$H)+SUMIF('20573'!$E:$E,'JE LOG_FY23'!B15,'20573'!$H:$H)+SUMIF('20574'!$E:$E,'JE LOG_FY23'!B15,'20574'!$H:$H)+SUMIF('20577'!$E:$E,'JE LOG_FY23'!B15,'20577'!$H:$H)+SUMIF('20644'!$E:$E,'JE LOG_FY23'!B15,'20644'!$H:$H)+SUMIF('20645'!$E:$E,'JE LOG_FY23'!B15,'20645'!$H:$H)+SUMIF('20667'!$E:$E,'JE LOG_FY23'!B15,'20667'!$H:$H)+SUMIF('20668'!$E:$E,'JE LOG_FY23'!B15,'20668'!$H:$H)+SUMIF('20698'!$E:$E,'JE LOG_FY23'!B15,'20698'!$H:$H)+SUMIF('20700'!$E:$E,'JE LOG_FY23'!B15,'20700'!$H:$H)+SUMIF('20701'!$E:$E,'JE LOG_FY23'!B15,'20701'!$H:$H)+SUMIF('20702'!$E:$E,'JE LOG_FY23'!B15,'20702'!$H:$H)+SUMIF('20718'!$E:$E,'JE LOG_FY23'!B15,'20718'!$H:$H)+SUMIF('20723'!$E:$E,'JE LOG_FY23'!B15,'20723'!$H:$H)+SUMIF('20724'!$E:$E,'JE LOG_FY23'!B15,'20724'!$H:$H)+SUMIF('20771'!$E:$E,'JE LOG_FY23'!B15,'20771'!$H:$H)+SUMIF('20735'!$E:$E,'JE LOG_FY23'!B15,'20735'!$H:$H)+SUMIF('20792'!$E:$E,'JE LOG_FY23'!B15,'20792'!$H:$H)</f>
        <v>1294681</v>
      </c>
      <c r="F15" s="157"/>
    </row>
    <row r="16" spans="1:10" x14ac:dyDescent="0.4">
      <c r="B16" s="22" t="s">
        <v>254</v>
      </c>
      <c r="C16" s="43">
        <f>SUMIF('10085'!$E:$E,'JE LOG_FY23'!B16,'10085'!$H:$H)+SUMIF('10098'!$E:$E,'JE LOG_FY23'!B16,'10098'!$H:$H)+SUMIF('10146'!$E:$E,'JE LOG_FY23'!B16,'10146'!$H:$H)+SUMIF('20179'!$E:$E,'JE LOG_FY23'!B16,'20179'!$H:$H)+SUMIF('20336'!$E:$E,'JE LOG_FY23'!B16,'20336'!$H:$H)+SUMIF('20431'!$E:$E,'JE LOG_FY23'!B16,'20431'!$H:$H)+SUMIF('20478'!$E:$E,'JE LOG_FY23'!B16,'20478'!$H:$H)+SUMIF('20489'!$E:$E,'JE LOG_FY23'!B16,'20489'!$H:$H)+SUMIF('20497'!$E:$E,'JE LOG_FY23'!B16,'20497'!$H:$H)+SUMIF('20506'!$E:$E,'JE LOG_FY23'!B16,'20506'!$H:$H)++SUMIF('20562'!$E:$E,'JE LOG_FY23'!B16,'20562'!$H:$H)+SUMIF('20566'!$E:$E,'JE LOG_FY23'!B16,'20566'!$H:$H)+SUMIF('20573'!$E:$E,'JE LOG_FY23'!B16,'20573'!$H:$H)+SUMIF('20574'!$E:$E,'JE LOG_FY23'!B16,'20574'!$H:$H)+SUMIF('20577'!$E:$E,'JE LOG_FY23'!B16,'20577'!$H:$H)+SUMIF('20644'!$E:$E,'JE LOG_FY23'!B16,'20644'!$H:$H)+SUMIF('20645'!$E:$E,'JE LOG_FY23'!B16,'20645'!$H:$H)+SUMIF('20667'!$E:$E,'JE LOG_FY23'!B16,'20667'!$H:$H)+SUMIF('20668'!$E:$E,'JE LOG_FY23'!B16,'20668'!$H:$H)+SUMIF('20698'!$E:$E,'JE LOG_FY23'!B16,'20698'!$H:$H)+SUMIF('20700'!$E:$E,'JE LOG_FY23'!B16,'20700'!$H:$H)+SUMIF('20701'!$E:$E,'JE LOG_FY23'!B16,'20701'!$H:$H)+SUMIF('20702'!$E:$E,'JE LOG_FY23'!B16,'20702'!$H:$H)+SUMIF('20718'!$E:$E,'JE LOG_FY23'!B16,'20718'!$H:$H)+SUMIF('20723'!$E:$E,'JE LOG_FY23'!B16,'20723'!$H:$H)+SUMIF('20724'!$E:$E,'JE LOG_FY23'!B16,'20724'!$H:$H)+SUMIF('20771'!$E:$E,'JE LOG_FY23'!B16,'20771'!$H:$H)+SUMIF('20735'!$E:$E,'JE LOG_FY23'!B16,'20735'!$H:$H)+SUMIF('20792'!$E:$E,'JE LOG_FY23'!B16,'20792'!$H:$H)</f>
        <v>730127</v>
      </c>
      <c r="F16" s="157"/>
    </row>
    <row r="17" spans="1:8" x14ac:dyDescent="0.4">
      <c r="B17" s="22" t="s">
        <v>272</v>
      </c>
      <c r="C17" s="43">
        <f>SUMIF('10085'!$E:$E,'JE LOG_FY23'!B17,'10085'!$H:$H)+SUMIF('10098'!$E:$E,'JE LOG_FY23'!B17,'10098'!$H:$H)+SUMIF('10146'!$E:$E,'JE LOG_FY23'!B17,'10146'!$H:$H)+SUMIF('20179'!$E:$E,'JE LOG_FY23'!B17,'20179'!$H:$H)+SUMIF('20336'!$E:$E,'JE LOG_FY23'!B17,'20336'!$H:$H)+SUMIF('20431'!$E:$E,'JE LOG_FY23'!B17,'20431'!$H:$H)+SUMIF('20478'!$E:$E,'JE LOG_FY23'!B17,'20478'!$H:$H)+SUMIF('20489'!$E:$E,'JE LOG_FY23'!B17,'20489'!$H:$H)+SUMIF('20497'!$E:$E,'JE LOG_FY23'!B17,'20497'!$H:$H)+SUMIF('20506'!$E:$E,'JE LOG_FY23'!B17,'20506'!$H:$H)++SUMIF('20562'!$E:$E,'JE LOG_FY23'!B17,'20562'!$H:$H)+SUMIF('20566'!$E:$E,'JE LOG_FY23'!B17,'20566'!$H:$H)+SUMIF('20573'!$E:$E,'JE LOG_FY23'!B17,'20573'!$H:$H)+SUMIF('20574'!$E:$E,'JE LOG_FY23'!B17,'20574'!$H:$H)+SUMIF('20577'!$E:$E,'JE LOG_FY23'!B17,'20577'!$H:$H)+SUMIF('20644'!$E:$E,'JE LOG_FY23'!B17,'20644'!$H:$H)+SUMIF('20645'!$E:$E,'JE LOG_FY23'!B17,'20645'!$H:$H)+SUMIF('20667'!$E:$E,'JE LOG_FY23'!B17,'20667'!$H:$H)+SUMIF('20668'!$E:$E,'JE LOG_FY23'!B17,'20668'!$H:$H)+SUMIF('20698'!$E:$E,'JE LOG_FY23'!B17,'20698'!$H:$H)+SUMIF('20700'!$E:$E,'JE LOG_FY23'!B17,'20700'!$H:$H)+SUMIF('20701'!$E:$E,'JE LOG_FY23'!B17,'20701'!$H:$H)+SUMIF('20702'!$E:$E,'JE LOG_FY23'!B17,'20702'!$H:$H)+SUMIF('20718'!$E:$E,'JE LOG_FY23'!B17,'20718'!$H:$H)+SUMIF('20723'!$E:$E,'JE LOG_FY23'!B17,'20723'!$H:$H)+SUMIF('20724'!$E:$E,'JE LOG_FY23'!B17,'20724'!$H:$H)+SUMIF('20771'!$E:$E,'JE LOG_FY23'!B17,'20771'!$H:$H)+SUMIF('20735'!$E:$E,'JE LOG_FY23'!B17,'20735'!$H:$H)+SUMIF('20792'!$E:$E,'JE LOG_FY23'!B17,'20792'!$H:$H)</f>
        <v>1067545.26</v>
      </c>
      <c r="F17" s="43"/>
    </row>
    <row r="18" spans="1:8" x14ac:dyDescent="0.4">
      <c r="B18" s="22" t="s">
        <v>279</v>
      </c>
      <c r="C18" s="43">
        <f>SUMIF('10085'!$E:$E,'JE LOG_FY23'!B18,'10085'!$H:$H)+SUMIF('10098'!$E:$E,'JE LOG_FY23'!B18,'10098'!$H:$H)+SUMIF('10146'!$E:$E,'JE LOG_FY23'!B18,'10146'!$H:$H)+SUMIF('20179'!$E:$E,'JE LOG_FY23'!B18,'20179'!$H:$H)+SUMIF('20336'!$E:$E,'JE LOG_FY23'!B18,'20336'!$H:$H)+SUMIF('20431'!$E:$E,'JE LOG_FY23'!B18,'20431'!$H:$H)+SUMIF('20478'!$E:$E,'JE LOG_FY23'!B18,'20478'!$H:$H)+SUMIF('20489'!$E:$E,'JE LOG_FY23'!B18,'20489'!$H:$H)+SUMIF('20497'!$E:$E,'JE LOG_FY23'!B18,'20497'!$H:$H)+SUMIF('20506'!$E:$E,'JE LOG_FY23'!B18,'20506'!$H:$H)++SUMIF('20562'!$E:$E,'JE LOG_FY23'!B18,'20562'!$H:$H)+SUMIF('20566'!$E:$E,'JE LOG_FY23'!B18,'20566'!$H:$H)+SUMIF('20573'!$E:$E,'JE LOG_FY23'!B18,'20573'!$H:$H)+SUMIF('20574'!$E:$E,'JE LOG_FY23'!B18,'20574'!$H:$H)+SUMIF('20577'!$E:$E,'JE LOG_FY23'!B18,'20577'!$H:$H)+SUMIF('20644'!$E:$E,'JE LOG_FY23'!B18,'20644'!$H:$H)+SUMIF('20645'!$E:$E,'JE LOG_FY23'!B18,'20645'!$H:$H)+SUMIF('20667'!$E:$E,'JE LOG_FY23'!B18,'20667'!$H:$H)+SUMIF('20668'!$E:$E,'JE LOG_FY23'!B18,'20668'!$H:$H)+SUMIF('20698'!$E:$E,'JE LOG_FY23'!B18,'20698'!$H:$H)+SUMIF('20700'!$E:$E,'JE LOG_FY23'!B18,'20700'!$H:$H)+SUMIF('20701'!$E:$E,'JE LOG_FY23'!B18,'20701'!$H:$H)+SUMIF('20702'!$E:$E,'JE LOG_FY23'!B18,'20702'!$H:$H)+SUMIF('20718'!$E:$E,'JE LOG_FY23'!B18,'20718'!$H:$H)+SUMIF('20723'!$E:$E,'JE LOG_FY23'!B18,'20723'!$H:$H)+SUMIF('20724'!$E:$E,'JE LOG_FY23'!B18,'20724'!$H:$H)+SUMIF('20771'!$E:$E,'JE LOG_FY23'!B18,'20771'!$H:$H)+SUMIF('20735'!$E:$E,'JE LOG_FY23'!B18,'20735'!$H:$H)+SUMIF('20792'!$E:$E,'JE LOG_FY23'!B18,'20792'!$H:$H)</f>
        <v>305700</v>
      </c>
      <c r="F18" s="43"/>
    </row>
    <row r="19" spans="1:8" x14ac:dyDescent="0.4">
      <c r="B19" s="22" t="s">
        <v>285</v>
      </c>
      <c r="C19" s="43">
        <f>SUMIF('10085'!$E:$E,'JE LOG_FY23'!B19,'10085'!$H:$H)+SUMIF('10098'!$E:$E,'JE LOG_FY23'!B19,'10098'!$H:$H)+SUMIF('10146'!$E:$E,'JE LOG_FY23'!B19,'10146'!$H:$H)+SUMIF('20179'!$E:$E,'JE LOG_FY23'!B19,'20179'!$H:$H)+SUMIF('20336'!$E:$E,'JE LOG_FY23'!B19,'20336'!$H:$H)+SUMIF('20431'!$E:$E,'JE LOG_FY23'!B19,'20431'!$H:$H)+SUMIF('20478'!$E:$E,'JE LOG_FY23'!B19,'20478'!$H:$H)+SUMIF('20489'!$E:$E,'JE LOG_FY23'!B19,'20489'!$H:$H)+SUMIF('20497'!$E:$E,'JE LOG_FY23'!B19,'20497'!$H:$H)+SUMIF('20506'!$E:$E,'JE LOG_FY23'!B19,'20506'!$H:$H)++SUMIF('20562'!$E:$E,'JE LOG_FY23'!B19,'20562'!$H:$H)+SUMIF('20566'!$E:$E,'JE LOG_FY23'!B19,'20566'!$H:$H)+SUMIF('20573'!$E:$E,'JE LOG_FY23'!B19,'20573'!$H:$H)+SUMIF('20574'!$E:$E,'JE LOG_FY23'!B19,'20574'!$H:$H)+SUMIF('20577'!$E:$E,'JE LOG_FY23'!B19,'20577'!$H:$H)+SUMIF('20644'!$E:$E,'JE LOG_FY23'!B19,'20644'!$H:$H)+SUMIF('20645'!$E:$E,'JE LOG_FY23'!B19,'20645'!$H:$H)+SUMIF('20667'!$E:$E,'JE LOG_FY23'!B19,'20667'!$H:$H)+SUMIF('20668'!$E:$E,'JE LOG_FY23'!B19,'20668'!$H:$H)+SUMIF('20698'!$E:$E,'JE LOG_FY23'!B19,'20698'!$H:$H)+SUMIF('20700'!$E:$E,'JE LOG_FY23'!B19,'20700'!$H:$H)+SUMIF('20701'!$E:$E,'JE LOG_FY23'!B19,'20701'!$H:$H)+SUMIF('20702'!$E:$E,'JE LOG_FY23'!B19,'20702'!$H:$H)+SUMIF('20718'!$E:$E,'JE LOG_FY23'!B19,'20718'!$H:$H)+SUMIF('20723'!$E:$E,'JE LOG_FY23'!B19,'20723'!$H:$H)+SUMIF('20724'!$E:$E,'JE LOG_FY23'!B19,'20724'!$H:$H)+SUMIF('20771'!$E:$E,'JE LOG_FY23'!B19,'20771'!$H:$H)+SUMIF('20735'!$E:$E,'JE LOG_FY23'!B19,'20735'!$H:$H)+SUMIF('20792'!$E:$E,'JE LOG_FY23'!B19,'20792'!$H:$H)</f>
        <v>226341</v>
      </c>
    </row>
    <row r="20" spans="1:8" x14ac:dyDescent="0.4">
      <c r="B20" s="48" t="s">
        <v>309</v>
      </c>
      <c r="C20" s="49">
        <f>SUMIF('10085'!$E:$E,'JE LOG_FY23'!B20,'10085'!$H:$H)+SUMIF('10098'!$E:$E,'JE LOG_FY23'!B20,'10098'!$H:$H)+SUMIF('10146'!$E:$E,'JE LOG_FY23'!B20,'10146'!$H:$H)+SUMIF('20179'!$E:$E,'JE LOG_FY23'!B20,'20179'!$H:$H)+SUMIF('20336'!$E:$E,'JE LOG_FY23'!B20,'20336'!$H:$H)+SUMIF('20431'!$E:$E,'JE LOG_FY23'!B20,'20431'!$H:$H)+SUMIF('20478'!$E:$E,'JE LOG_FY23'!B20,'20478'!$H:$H)+SUMIF('20489'!$E:$E,'JE LOG_FY23'!B20,'20489'!$H:$H)+SUMIF('20497'!$E:$E,'JE LOG_FY23'!B20,'20497'!$H:$H)+SUMIF('20506'!$E:$E,'JE LOG_FY23'!B20,'20506'!$H:$H)++SUMIF('20562'!$E:$E,'JE LOG_FY23'!B20,'20562'!$H:$H)+SUMIF('20566'!$E:$E,'JE LOG_FY23'!B20,'20566'!$H:$H)+SUMIF('20573'!$E:$E,'JE LOG_FY23'!B20,'20573'!$H:$H)+SUMIF('20574'!$E:$E,'JE LOG_FY23'!B20,'20574'!$H:$H)+SUMIF('20577'!$E:$E,'JE LOG_FY23'!B20,'20577'!$H:$H)+SUMIF('20644'!$E:$E,'JE LOG_FY23'!B20,'20644'!$H:$H)+SUMIF('20645'!$E:$E,'JE LOG_FY23'!B20,'20645'!$H:$H)+SUMIF('20667'!$E:$E,'JE LOG_FY23'!B20,'20667'!$H:$H)+SUMIF('20668'!$E:$E,'JE LOG_FY23'!B20,'20668'!$H:$H)+SUMIF('20698'!$E:$E,'JE LOG_FY23'!B20,'20698'!$H:$H)+SUMIF('20700'!$E:$E,'JE LOG_FY23'!B20,'20700'!$H:$H)+SUMIF('20701'!$E:$E,'JE LOG_FY23'!B20,'20701'!$H:$H)+SUMIF('20702'!$E:$E,'JE LOG_FY23'!B20,'20702'!$H:$H)+SUMIF('20718'!$E:$E,'JE LOG_FY23'!B20,'20718'!$H:$H)+SUMIF('20723'!$E:$E,'JE LOG_FY23'!B20,'20723'!$H:$H)+SUMIF('20724'!$E:$E,'JE LOG_FY23'!B20,'20724'!$H:$H)+SUMIF('20771'!$E:$E,'JE LOG_FY23'!B20,'20771'!$H:$H)+SUMIF('20735'!$E:$E,'JE LOG_FY23'!B20,'20735'!$H:$H)+SUMIF('20792'!$E:$E,'JE LOG_FY23'!B20,'20792'!$H:$H)</f>
        <v>478940</v>
      </c>
    </row>
    <row r="21" spans="1:8" x14ac:dyDescent="0.4">
      <c r="A21" s="78"/>
      <c r="B21" s="55" t="s">
        <v>144</v>
      </c>
      <c r="C21" s="56">
        <f>SUM(C9:C20)</f>
        <v>8797286.2599999998</v>
      </c>
      <c r="D21" s="78">
        <f>C21/C5</f>
        <v>0.93942946227021862</v>
      </c>
      <c r="H21" s="78"/>
    </row>
    <row r="24" spans="1:8" x14ac:dyDescent="0.4">
      <c r="A24" s="78"/>
      <c r="B24" s="51" t="s">
        <v>136</v>
      </c>
      <c r="C24" s="52">
        <f>C5-C21</f>
        <v>567212.74000000022</v>
      </c>
      <c r="D24" s="78">
        <f>C24/C5</f>
        <v>6.0570537729781403E-2</v>
      </c>
      <c r="H24" s="78"/>
    </row>
  </sheetData>
  <hyperlinks>
    <hyperlink ref="A1" location="'Project Status'!A1" display="'Project Status'!A1" xr:uid="{D54CCFE6-2282-4CB1-A38A-149F87628119}"/>
  </hyperlinks>
  <pageMargins left="0.7" right="0.7" top="0.75" bottom="0.75" header="0.3" footer="0.3"/>
  <pageSetup orientation="portrait" horizontalDpi="4294967295" verticalDpi="4294967295"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07FA-F034-49AD-8421-4944DA9DDFAC}">
  <sheetPr>
    <tabColor theme="0"/>
  </sheetPr>
  <dimension ref="A1:T58"/>
  <sheetViews>
    <sheetView zoomScaleNormal="100" workbookViewId="0"/>
  </sheetViews>
  <sheetFormatPr defaultRowHeight="14.6" x14ac:dyDescent="0.4"/>
  <cols>
    <col min="1" max="1" width="5.69140625" customWidth="1"/>
    <col min="2" max="2" width="23.3046875" bestFit="1" customWidth="1"/>
    <col min="3" max="3" width="15.3046875" style="43" bestFit="1" customWidth="1"/>
    <col min="4" max="4" width="5.69140625" customWidth="1"/>
    <col min="6" max="6" width="14.3046875" bestFit="1" customWidth="1"/>
    <col min="8" max="8" width="5.69140625" customWidth="1"/>
    <col min="18" max="18" width="10.53515625" bestFit="1" customWidth="1"/>
    <col min="19" max="19" width="10.69140625" bestFit="1" customWidth="1"/>
    <col min="20" max="20" width="10" bestFit="1" customWidth="1"/>
  </cols>
  <sheetData>
    <row r="1" spans="1:10" x14ac:dyDescent="0.4">
      <c r="A1" s="166" t="s">
        <v>276</v>
      </c>
    </row>
    <row r="2" spans="1:10" x14ac:dyDescent="0.4">
      <c r="B2" s="47" t="s">
        <v>140</v>
      </c>
    </row>
    <row r="3" spans="1:10" x14ac:dyDescent="0.4">
      <c r="B3" t="s">
        <v>142</v>
      </c>
      <c r="E3" s="47" t="s">
        <v>326</v>
      </c>
    </row>
    <row r="4" spans="1:10" x14ac:dyDescent="0.4">
      <c r="B4" s="48" t="s">
        <v>320</v>
      </c>
      <c r="C4" s="49">
        <f>Contributions!G14</f>
        <v>11029283.289999999</v>
      </c>
      <c r="E4" s="22" t="s">
        <v>138</v>
      </c>
      <c r="F4" s="43">
        <f>SUMIF('10085'!$E:$E,'JE LOG_FY24'!E4,'10085'!$H:$H)+SUMIF('10098'!$E:$E,'JE LOG_FY24'!E4,'10098'!$H:$H)+SUMIF('10146'!$E:$E,'JE LOG_FY24'!E4,'10146'!$H:$H)+SUMIF('20179'!$E:$E,'JE LOG_FY24'!E4,'20179'!$H:$H)+SUMIF('20336'!$E:$E,'JE LOG_FY24'!E4,'20336'!$H:$H)+SUMIF('20431'!$E:$E,'JE LOG_FY24'!E4,'20431'!$H:$H)+SUMIF('20478'!$E:$E,'JE LOG_FY24'!E4,'20478'!$H:$H)+SUMIF('20489'!$E:$E,'JE LOG_FY24'!E4,'20489'!$H:$H)+SUMIF('20497'!$E:$E,'JE LOG_FY24'!E4,'20497'!$H:$H)+SUMIF('20506'!$E:$E,'JE LOG_FY24'!E4,'20506'!$H:$H)++SUMIF('20562'!$E:$E,'JE LOG_FY24'!E4,'20562'!$H:$H)+SUMIF('20566'!$E:$E,'JE LOG_FY24'!E4,'20566'!$H:$H)+SUMIF('20573'!$E:$E,'JE LOG_FY24'!E4,'20573'!$H:$H)+SUMIF('20574'!$E:$E,'JE LOG_FY24'!E4,'20574'!$H:$H)+SUMIF('20577'!$E:$E,'JE LOG_FY24'!E4,'20577'!$H:$H)+SUMIF('20644'!$E:$E,'JE LOG_FY24'!E4,'20644'!$H:$H)+SUMIF('20645'!$E:$E,'JE LOG_FY24'!E4,'20645'!$H:$H)+SUMIF('20667'!$E:$E,'JE LOG_FY24'!E4,'20667'!$H:$H)+SUMIF('20668'!$E:$E,'JE LOG_FY24'!E4,'20668'!$H:$H)+SUMIF('20698'!$E:$E,'JE LOG_FY24'!E4,'20698'!$H:$H)+SUMIF('20700'!$E:$E,'JE LOG_FY24'!E4,'20700'!$H:$H)+SUMIF('20701'!$E:$E,'JE LOG_FY24'!E4,'20701'!$H:$H)+SUMIF('20702'!$E:$E,'JE LOG_FY24'!E4,'20702'!$H:$H)+SUMIF('20718'!$E:$E,'JE LOG_FY24'!E4,'20718'!$H:$H)+SUMIF('20723'!$E:$E,'JE LOG_FY24'!E4,'20723'!$H:$H)+SUMIF('20724'!$E:$E,'JE LOG_FY24'!E4,'20724'!$H:$H)+SUMIF('20771'!$E:$E,'JE LOG_FY24'!E4,'20771'!$H:$H)+SUMIF('20735'!$E:$E,'JE LOG_FY24'!E4,'20735'!$H:$H)+SUMIF('20792'!$E:$E,'JE LOG_FY24'!E4,'20792'!$H:$H)+SUMIF('20831'!$E:$E,'JE LOG_FY24'!E4,'20831'!$H:$H)+SUMIF('20832'!$E:$E,'JE LOG_FY24'!E4,'20832'!$H:$H)+SUMIF('20833'!$E:$E,'JE LOG_FY24'!E4,'20833'!$H:$H)+SUMIF('20857'!$E:$E,'JE LOG_FY24'!E4,'20857'!$H:$H)+SUMIF('20911'!$E:$E,'JE LOG_FY24'!E4,'20911'!$H:$H)+SUMIF('20912'!$E:$E,'JE LOG_FY24'!E4,'20912'!$H:$H)+SUMIF('20913'!$E:$E,'JE LOG_FY24'!E4,'20913'!$H:$H)</f>
        <v>0</v>
      </c>
    </row>
    <row r="5" spans="1:10" x14ac:dyDescent="0.4">
      <c r="B5" s="53" t="s">
        <v>145</v>
      </c>
      <c r="C5" s="54">
        <f>SUM(C1:C4)</f>
        <v>11029283.289999999</v>
      </c>
      <c r="J5" s="22"/>
    </row>
    <row r="8" spans="1:10" x14ac:dyDescent="0.4">
      <c r="B8" t="s">
        <v>143</v>
      </c>
      <c r="F8" s="44"/>
    </row>
    <row r="9" spans="1:10" x14ac:dyDescent="0.4">
      <c r="B9" s="22" t="s">
        <v>325</v>
      </c>
      <c r="C9" s="43">
        <f>SUMIF('10085'!$E:$E,'JE LOG_FY24'!B9,'10085'!$H:$H)+SUMIF('10098'!$E:$E,'JE LOG_FY24'!B9,'10098'!$H:$H)+SUMIF('10146'!$E:$E,'JE LOG_FY24'!B9,'10146'!$H:$H)+SUMIF('20179'!$E:$E,'JE LOG_FY24'!B9,'20179'!$H:$H)+SUMIF('20336'!$E:$E,'JE LOG_FY24'!B9,'20336'!$H:$H)+SUMIF('20431'!$E:$E,'JE LOG_FY24'!B9,'20431'!$H:$H)+SUMIF('20478'!$E:$E,'JE LOG_FY24'!B9,'20478'!$H:$H)+SUMIF('20489'!$E:$E,'JE LOG_FY24'!B9,'20489'!$H:$H)+SUMIF('20497'!$E:$E,'JE LOG_FY24'!B9,'20497'!$H:$H)+SUMIF('20506'!$E:$E,'JE LOG_FY24'!B9,'20506'!$H:$H)++SUMIF('20562'!$E:$E,'JE LOG_FY24'!B9,'20562'!$H:$H)+SUMIF('20566'!$E:$E,'JE LOG_FY24'!B9,'20566'!$H:$H)+SUMIF('20573'!$E:$E,'JE LOG_FY24'!B9,'20573'!$H:$H)+SUMIF('20574'!$E:$E,'JE LOG_FY24'!B9,'20574'!$H:$H)+SUMIF('20577'!$E:$E,'JE LOG_FY24'!B9,'20577'!$H:$H)+SUMIF('20644'!$E:$E,'JE LOG_FY24'!B9,'20644'!$H:$H)+SUMIF('20645'!$E:$E,'JE LOG_FY24'!B9,'20645'!$H:$H)+SUMIF('20667'!$E:$E,'JE LOG_FY24'!B9,'20667'!$H:$H)+SUMIF('20668'!$E:$E,'JE LOG_FY24'!B9,'20668'!$H:$H)+SUMIF('20698'!$E:$E,'JE LOG_FY24'!B9,'20698'!$H:$H)+SUMIF('20700'!$E:$E,'JE LOG_FY24'!B9,'20700'!$H:$H)+SUMIF('20701'!$E:$E,'JE LOG_FY24'!B9,'20701'!$H:$H)+SUMIF('20702'!$E:$E,'JE LOG_FY24'!B9,'20702'!$H:$H)+SUMIF('20718'!$E:$E,'JE LOG_FY24'!B9,'20718'!$H:$H)+SUMIF('20723'!$E:$E,'JE LOG_FY24'!B9,'20723'!$H:$H)+SUMIF('20724'!$E:$E,'JE LOG_FY24'!B9,'20724'!$H:$H)+SUMIF('20771'!$E:$E,'JE LOG_FY24'!B9,'20771'!$H:$H)+SUMIF('20735'!$E:$E,'JE LOG_FY24'!B9,'20735'!$H:$H)+SUMIF('20792'!$E:$E,'JE LOG_FY24'!B9,'20792'!$H:$H)</f>
        <v>1028900</v>
      </c>
      <c r="F9" s="157"/>
    </row>
    <row r="10" spans="1:10" x14ac:dyDescent="0.4">
      <c r="B10" s="22" t="s">
        <v>340</v>
      </c>
      <c r="C10" s="43">
        <f>SUMIF('10085'!$E:$E,'JE LOG_FY24'!B10,'10085'!$H:$H)+SUMIF('10098'!$E:$E,'JE LOG_FY24'!B10,'10098'!$H:$H)+SUMIF('10146'!$E:$E,'JE LOG_FY24'!B10,'10146'!$H:$H)+SUMIF('20179'!$E:$E,'JE LOG_FY24'!B10,'20179'!$H:$H)+SUMIF('20336'!$E:$E,'JE LOG_FY24'!B10,'20336'!$H:$H)+SUMIF('20431'!$E:$E,'JE LOG_FY24'!B10,'20431'!$H:$H)+SUMIF('20478'!$E:$E,'JE LOG_FY24'!B10,'20478'!$H:$H)+SUMIF('20489'!$E:$E,'JE LOG_FY24'!B10,'20489'!$H:$H)+SUMIF('20497'!$E:$E,'JE LOG_FY24'!B10,'20497'!$H:$H)+SUMIF('20506'!$E:$E,'JE LOG_FY24'!B10,'20506'!$H:$H)++SUMIF('20562'!$E:$E,'JE LOG_FY24'!B10,'20562'!$H:$H)+SUMIF('20566'!$E:$E,'JE LOG_FY24'!B10,'20566'!$H:$H)+SUMIF('20573'!$E:$E,'JE LOG_FY24'!B10,'20573'!$H:$H)+SUMIF('20574'!$E:$E,'JE LOG_FY24'!B10,'20574'!$H:$H)+SUMIF('20577'!$E:$E,'JE LOG_FY24'!B10,'20577'!$H:$H)+SUMIF('20644'!$E:$E,'JE LOG_FY24'!B10,'20644'!$H:$H)+SUMIF('20645'!$E:$E,'JE LOG_FY24'!B10,'20645'!$H:$H)+SUMIF('20667'!$E:$E,'JE LOG_FY24'!B10,'20667'!$H:$H)+SUMIF('20668'!$E:$E,'JE LOG_FY24'!B10,'20668'!$H:$H)+SUMIF('20698'!$E:$E,'JE LOG_FY24'!B10,'20698'!$H:$H)+SUMIF('20700'!$E:$E,'JE LOG_FY24'!B10,'20700'!$H:$H)+SUMIF('20701'!$E:$E,'JE LOG_FY24'!B10,'20701'!$H:$H)+SUMIF('20702'!$E:$E,'JE LOG_FY24'!B10,'20702'!$H:$H)+SUMIF('20718'!$E:$E,'JE LOG_FY24'!B10,'20718'!$H:$H)+SUMIF('20723'!$E:$E,'JE LOG_FY24'!B10,'20723'!$H:$H)+SUMIF('20724'!$E:$E,'JE LOG_FY24'!B10,'20724'!$H:$H)+SUMIF('20771'!$E:$E,'JE LOG_FY24'!B10,'20771'!$H:$H)+SUMIF('20735'!$E:$E,'JE LOG_FY24'!B10,'20735'!$H:$H)+SUMIF('20792'!$E:$E,'JE LOG_FY24'!B10,'20792'!$H:$H)+SUMIF('20831'!$E:$E,'JE LOG_FY24'!B10,'20831'!$H:$H)+SUMIF('20832'!$E:$E,'JE LOG_FY24'!B10,'20832'!$H:$H)+SUMIF('20833'!$E:$E,'JE LOG_FY24'!B10,'20833'!$H:$H)</f>
        <v>3749814</v>
      </c>
      <c r="F10" s="157"/>
    </row>
    <row r="11" spans="1:10" x14ac:dyDescent="0.4">
      <c r="B11" s="22" t="s">
        <v>356</v>
      </c>
      <c r="C11" s="43">
        <f>SUMIF('10085'!$E:$E,'JE LOG_FY24'!B11,'10085'!$H:$H)+SUMIF('10098'!$E:$E,'JE LOG_FY24'!B11,'10098'!$H:$H)+SUMIF('10146'!$E:$E,'JE LOG_FY24'!B11,'10146'!$H:$H)+SUMIF('20179'!$E:$E,'JE LOG_FY24'!B11,'20179'!$H:$H)+SUMIF('20336'!$E:$E,'JE LOG_FY24'!B11,'20336'!$H:$H)+SUMIF('20431'!$E:$E,'JE LOG_FY24'!B11,'20431'!$H:$H)+SUMIF('20478'!$E:$E,'JE LOG_FY24'!B11,'20478'!$H:$H)+SUMIF('20489'!$E:$E,'JE LOG_FY24'!B11,'20489'!$H:$H)+SUMIF('20497'!$E:$E,'JE LOG_FY24'!B11,'20497'!$H:$H)+SUMIF('20506'!$E:$E,'JE LOG_FY24'!B11,'20506'!$H:$H)++SUMIF('20562'!$E:$E,'JE LOG_FY24'!B11,'20562'!$H:$H)+SUMIF('20566'!$E:$E,'JE LOG_FY24'!B11,'20566'!$H:$H)+SUMIF('20573'!$E:$E,'JE LOG_FY24'!B11,'20573'!$H:$H)+SUMIF('20574'!$E:$E,'JE LOG_FY24'!B11,'20574'!$H:$H)+SUMIF('20577'!$E:$E,'JE LOG_FY24'!B11,'20577'!$H:$H)+SUMIF('20644'!$E:$E,'JE LOG_FY24'!B11,'20644'!$H:$H)+SUMIF('20645'!$E:$E,'JE LOG_FY24'!B11,'20645'!$H:$H)+SUMIF('20667'!$E:$E,'JE LOG_FY24'!B11,'20667'!$H:$H)+SUMIF('20668'!$E:$E,'JE LOG_FY24'!B11,'20668'!$H:$H)+SUMIF('20698'!$E:$E,'JE LOG_FY24'!B11,'20698'!$H:$H)+SUMIF('20700'!$E:$E,'JE LOG_FY24'!B11,'20700'!$H:$H)+SUMIF('20701'!$E:$E,'JE LOG_FY24'!B11,'20701'!$H:$H)+SUMIF('20702'!$E:$E,'JE LOG_FY24'!B11,'20702'!$H:$H)+SUMIF('20718'!$E:$E,'JE LOG_FY24'!B11,'20718'!$H:$H)+SUMIF('20723'!$E:$E,'JE LOG_FY24'!B11,'20723'!$H:$H)+SUMIF('20724'!$E:$E,'JE LOG_FY24'!B11,'20724'!$H:$H)+SUMIF('20771'!$E:$E,'JE LOG_FY24'!B11,'20771'!$H:$H)+SUMIF('20735'!$E:$E,'JE LOG_FY24'!B11,'20735'!$H:$H)+SUMIF('20792'!$E:$E,'JE LOG_FY24'!B11,'20792'!$H:$H)+SUMIF('20831'!$E:$E,'JE LOG_FY24'!B11,'20831'!$H:$H)+SUMIF('20832'!$E:$E,'JE LOG_FY24'!B11,'20832'!$H:$H)+SUMIF('20833'!$E:$E,'JE LOG_FY24'!B11,'20833'!$H:$H)+SUMIF('20857'!$E:$E,'JE LOG_FY24'!B11,'20857'!$H:$H)</f>
        <v>-45721</v>
      </c>
      <c r="F11" s="157"/>
    </row>
    <row r="12" spans="1:10" x14ac:dyDescent="0.4">
      <c r="B12" s="22" t="s">
        <v>379</v>
      </c>
      <c r="C12" s="43">
        <f>SUMIF('10085'!$E:$E,'JE LOG_FY24'!B12,'10085'!$H:$H)+SUMIF('10098'!$E:$E,'JE LOG_FY24'!B12,'10098'!$H:$H)+SUMIF('10146'!$E:$E,'JE LOG_FY24'!B12,'10146'!$H:$H)+SUMIF('20179'!$E:$E,'JE LOG_FY24'!B12,'20179'!$H:$H)+SUMIF('20336'!$E:$E,'JE LOG_FY24'!B12,'20336'!$H:$H)+SUMIF('20431'!$E:$E,'JE LOG_FY24'!B12,'20431'!$H:$H)+SUMIF('20478'!$E:$E,'JE LOG_FY24'!B12,'20478'!$H:$H)+SUMIF('20489'!$E:$E,'JE LOG_FY24'!B12,'20489'!$H:$H)+SUMIF('20497'!$E:$E,'JE LOG_FY24'!B12,'20497'!$H:$H)+SUMIF('20506'!$E:$E,'JE LOG_FY24'!B12,'20506'!$H:$H)++SUMIF('20562'!$E:$E,'JE LOG_FY24'!B12,'20562'!$H:$H)+SUMIF('20566'!$E:$E,'JE LOG_FY24'!B12,'20566'!$H:$H)+SUMIF('20573'!$E:$E,'JE LOG_FY24'!B12,'20573'!$H:$H)+SUMIF('20574'!$E:$E,'JE LOG_FY24'!B12,'20574'!$H:$H)+SUMIF('20577'!$E:$E,'JE LOG_FY24'!B12,'20577'!$H:$H)+SUMIF('20644'!$E:$E,'JE LOG_FY24'!B12,'20644'!$H:$H)+SUMIF('20645'!$E:$E,'JE LOG_FY24'!B12,'20645'!$H:$H)+SUMIF('20667'!$E:$E,'JE LOG_FY24'!B12,'20667'!$H:$H)+SUMIF('20668'!$E:$E,'JE LOG_FY24'!B12,'20668'!$H:$H)+SUMIF('20698'!$E:$E,'JE LOG_FY24'!B12,'20698'!$H:$H)+SUMIF('20700'!$E:$E,'JE LOG_FY24'!B12,'20700'!$H:$H)+SUMIF('20701'!$E:$E,'JE LOG_FY24'!B12,'20701'!$H:$H)+SUMIF('20702'!$E:$E,'JE LOG_FY24'!B12,'20702'!$H:$H)+SUMIF('20718'!$E:$E,'JE LOG_FY24'!B12,'20718'!$H:$H)+SUMIF('20723'!$E:$E,'JE LOG_FY24'!B12,'20723'!$H:$H)+SUMIF('20724'!$E:$E,'JE LOG_FY24'!B12,'20724'!$H:$H)+SUMIF('20771'!$E:$E,'JE LOG_FY24'!B12,'20771'!$H:$H)+SUMIF('20735'!$E:$E,'JE LOG_FY24'!B12,'20735'!$H:$H)+SUMIF('20792'!$E:$E,'JE LOG_FY24'!B12,'20792'!$H:$H)+SUMIF('20831'!$E:$E,'JE LOG_FY24'!B12,'20831'!$H:$H)+SUMIF('20832'!$E:$E,'JE LOG_FY24'!B12,'20832'!$H:$H)+SUMIF('20833'!$E:$E,'JE LOG_FY24'!B12,'20833'!$H:$H)+SUMIF('20857'!$E:$E,'JE LOG_FY24'!B12,'20857'!$H:$H)</f>
        <v>1964100</v>
      </c>
      <c r="F12" s="157"/>
    </row>
    <row r="13" spans="1:10" x14ac:dyDescent="0.4">
      <c r="B13" s="22" t="s">
        <v>382</v>
      </c>
      <c r="C13" s="43">
        <f>SUMIF('10085'!$E:$E,'JE LOG_FY24'!B13,'10085'!$H:$H)+SUMIF('10098'!$E:$E,'JE LOG_FY24'!B13,'10098'!$H:$H)+SUMIF('10146'!$E:$E,'JE LOG_FY24'!B13,'10146'!$H:$H)+SUMIF('20179'!$E:$E,'JE LOG_FY24'!B13,'20179'!$H:$H)+SUMIF('20336'!$E:$E,'JE LOG_FY24'!B13,'20336'!$H:$H)+SUMIF('20431'!$E:$E,'JE LOG_FY24'!B13,'20431'!$H:$H)+SUMIF('20478'!$E:$E,'JE LOG_FY24'!B13,'20478'!$H:$H)+SUMIF('20489'!$E:$E,'JE LOG_FY24'!B13,'20489'!$H:$H)+SUMIF('20497'!$E:$E,'JE LOG_FY24'!B13,'20497'!$H:$H)+SUMIF('20506'!$E:$E,'JE LOG_FY24'!B13,'20506'!$H:$H)++SUMIF('20562'!$E:$E,'JE LOG_FY24'!B13,'20562'!$H:$H)+SUMIF('20566'!$E:$E,'JE LOG_FY24'!B13,'20566'!$H:$H)+SUMIF('20573'!$E:$E,'JE LOG_FY24'!B13,'20573'!$H:$H)+SUMIF('20574'!$E:$E,'JE LOG_FY24'!B13,'20574'!$H:$H)+SUMIF('20577'!$E:$E,'JE LOG_FY24'!B13,'20577'!$H:$H)+SUMIF('20644'!$E:$E,'JE LOG_FY24'!B13,'20644'!$H:$H)+SUMIF('20645'!$E:$E,'JE LOG_FY24'!B13,'20645'!$H:$H)+SUMIF('20667'!$E:$E,'JE LOG_FY24'!B13,'20667'!$H:$H)+SUMIF('20668'!$E:$E,'JE LOG_FY24'!B13,'20668'!$H:$H)+SUMIF('20698'!$E:$E,'JE LOG_FY24'!B13,'20698'!$H:$H)+SUMIF('20700'!$E:$E,'JE LOG_FY24'!B13,'20700'!$H:$H)+SUMIF('20701'!$E:$E,'JE LOG_FY24'!B13,'20701'!$H:$H)+SUMIF('20702'!$E:$E,'JE LOG_FY24'!B13,'20702'!$H:$H)+SUMIF('20718'!$E:$E,'JE LOG_FY24'!B13,'20718'!$H:$H)+SUMIF('20723'!$E:$E,'JE LOG_FY24'!B13,'20723'!$H:$H)+SUMIF('20724'!$E:$E,'JE LOG_FY24'!B13,'20724'!$H:$H)+SUMIF('20771'!$E:$E,'JE LOG_FY24'!B13,'20771'!$H:$H)+SUMIF('20735'!$E:$E,'JE LOG_FY24'!B13,'20735'!$H:$H)+SUMIF('20792'!$E:$E,'JE LOG_FY24'!B13,'20792'!$H:$H)+SUMIF('20831'!$E:$E,'JE LOG_FY24'!B13,'20831'!$H:$H)+SUMIF('20832'!$E:$E,'JE LOG_FY24'!B13,'20832'!$H:$H)+SUMIF('20833'!$E:$E,'JE LOG_FY24'!B13,'20833'!$H:$H)+SUMIF('20857'!$E:$E,'JE LOG_FY24'!B13,'20857'!$H:$H)</f>
        <v>893319.04</v>
      </c>
      <c r="F13" s="157"/>
    </row>
    <row r="14" spans="1:10" x14ac:dyDescent="0.4">
      <c r="B14" s="22" t="s">
        <v>405</v>
      </c>
      <c r="C14" s="43">
        <f>SUMIF('10085'!$E:$E,'JE LOG_FY24'!B14,'10085'!$H:$H)+SUMIF('10098'!$E:$E,'JE LOG_FY24'!B14,'10098'!$H:$H)+SUMIF('10146'!$E:$E,'JE LOG_FY24'!B14,'10146'!$H:$H)+SUMIF('20179'!$E:$E,'JE LOG_FY24'!B14,'20179'!$H:$H)+SUMIF('20336'!$E:$E,'JE LOG_FY24'!B14,'20336'!$H:$H)+SUMIF('20431'!$E:$E,'JE LOG_FY24'!B14,'20431'!$H:$H)+SUMIF('20478'!$E:$E,'JE LOG_FY24'!B14,'20478'!$H:$H)+SUMIF('20489'!$E:$E,'JE LOG_FY24'!B14,'20489'!$H:$H)+SUMIF('20497'!$E:$E,'JE LOG_FY24'!B14,'20497'!$H:$H)+SUMIF('20506'!$E:$E,'JE LOG_FY24'!B14,'20506'!$H:$H)++SUMIF('20562'!$E:$E,'JE LOG_FY24'!B14,'20562'!$H:$H)+SUMIF('20566'!$E:$E,'JE LOG_FY24'!B14,'20566'!$H:$H)+SUMIF('20573'!$E:$E,'JE LOG_FY24'!B14,'20573'!$H:$H)+SUMIF('20574'!$E:$E,'JE LOG_FY24'!B14,'20574'!$H:$H)+SUMIF('20577'!$E:$E,'JE LOG_FY24'!B14,'20577'!$H:$H)+SUMIF('20644'!$E:$E,'JE LOG_FY24'!B14,'20644'!$H:$H)+SUMIF('20645'!$E:$E,'JE LOG_FY24'!B14,'20645'!$H:$H)+SUMIF('20667'!$E:$E,'JE LOG_FY24'!B14,'20667'!$H:$H)+SUMIF('20668'!$E:$E,'JE LOG_FY24'!B14,'20668'!$H:$H)+SUMIF('20698'!$E:$E,'JE LOG_FY24'!B14,'20698'!$H:$H)+SUMIF('20700'!$E:$E,'JE LOG_FY24'!B14,'20700'!$H:$H)+SUMIF('20701'!$E:$E,'JE LOG_FY24'!B14,'20701'!$H:$H)+SUMIF('20702'!$E:$E,'JE LOG_FY24'!B14,'20702'!$H:$H)+SUMIF('20718'!$E:$E,'JE LOG_FY24'!B14,'20718'!$H:$H)+SUMIF('20723'!$E:$E,'JE LOG_FY24'!B14,'20723'!$H:$H)+SUMIF('20724'!$E:$E,'JE LOG_FY24'!B14,'20724'!$H:$H)+SUMIF('20771'!$E:$E,'JE LOG_FY24'!B14,'20771'!$H:$H)+SUMIF('20735'!$E:$E,'JE LOG_FY24'!B14,'20735'!$H:$H)+SUMIF('20792'!$E:$E,'JE LOG_FY24'!B14,'20792'!$H:$H)+SUMIF('20831'!$E:$E,'JE LOG_FY24'!B14,'20831'!$H:$H)+SUMIF('20832'!$E:$E,'JE LOG_FY24'!B14,'20832'!$H:$H)+SUMIF('20833'!$E:$E,'JE LOG_FY24'!B14,'20833'!$H:$H)+SUMIF('20857'!$E:$E,'JE LOG_FY24'!B14,'20857'!$H:$H)+SUMIF('20885'!$E:$E,'JE LOG_FY24'!B14,'20885'!$H:$H)+SUMIF('20911'!$E:$E,'JE LOG_FY24'!B14,'20911'!$H:$H)+SUMIF('20912'!$E:$E,'JE LOG_FY24'!B14,'20912'!$H:$H)+SUMIF('20913'!$E:$E,'JE LOG_FY24'!B14,'20913'!$H:$H)</f>
        <v>-11229.320000000007</v>
      </c>
      <c r="F14" s="157"/>
    </row>
    <row r="15" spans="1:10" x14ac:dyDescent="0.4">
      <c r="B15" s="22"/>
      <c r="F15" s="157"/>
    </row>
    <row r="16" spans="1:10" x14ac:dyDescent="0.4">
      <c r="B16" s="22"/>
      <c r="F16" s="157"/>
    </row>
    <row r="17" spans="1:20" x14ac:dyDescent="0.4">
      <c r="B17" s="22"/>
      <c r="F17" s="43"/>
    </row>
    <row r="18" spans="1:20" x14ac:dyDescent="0.4">
      <c r="B18" s="22"/>
      <c r="F18" s="43"/>
    </row>
    <row r="19" spans="1:20" x14ac:dyDescent="0.4">
      <c r="B19" s="22"/>
    </row>
    <row r="20" spans="1:20" x14ac:dyDescent="0.4">
      <c r="B20" s="48"/>
      <c r="C20" s="49"/>
    </row>
    <row r="21" spans="1:20" x14ac:dyDescent="0.4">
      <c r="A21" s="78"/>
      <c r="B21" s="55" t="s">
        <v>144</v>
      </c>
      <c r="C21" s="56">
        <f>SUM(C9:C20)</f>
        <v>7579182.7199999997</v>
      </c>
      <c r="D21" s="78"/>
      <c r="H21" s="78"/>
    </row>
    <row r="23" spans="1:20" x14ac:dyDescent="0.4">
      <c r="B23" s="22" t="s">
        <v>327</v>
      </c>
      <c r="C23" s="43">
        <f>'JE LOG_FY23'!C24</f>
        <v>567212.74000000022</v>
      </c>
    </row>
    <row r="24" spans="1:20" x14ac:dyDescent="0.4">
      <c r="B24" s="22" t="s">
        <v>328</v>
      </c>
      <c r="C24" s="43">
        <f>F4</f>
        <v>0</v>
      </c>
    </row>
    <row r="26" spans="1:20" x14ac:dyDescent="0.4">
      <c r="A26" s="78"/>
      <c r="B26" s="51" t="s">
        <v>136</v>
      </c>
      <c r="C26" s="52">
        <f>C5-C21+C23-C24</f>
        <v>4017313.3099999996</v>
      </c>
      <c r="D26" s="78"/>
      <c r="H26" s="78"/>
      <c r="R26" s="244" t="s">
        <v>365</v>
      </c>
      <c r="S26" s="244" t="s">
        <v>366</v>
      </c>
    </row>
    <row r="27" spans="1:20" x14ac:dyDescent="0.4">
      <c r="R27" s="21">
        <v>7025</v>
      </c>
      <c r="S27" s="21">
        <v>24933</v>
      </c>
    </row>
    <row r="28" spans="1:20" x14ac:dyDescent="0.4">
      <c r="R28" s="21">
        <v>36379</v>
      </c>
      <c r="S28" s="21">
        <v>17600</v>
      </c>
    </row>
    <row r="29" spans="1:20" x14ac:dyDescent="0.4">
      <c r="R29" s="21">
        <v>44850</v>
      </c>
      <c r="S29" s="21"/>
    </row>
    <row r="30" spans="1:20" x14ac:dyDescent="0.4">
      <c r="R30" s="250">
        <f>SUM(R27:R29)</f>
        <v>88254</v>
      </c>
      <c r="S30" s="250">
        <f>SUM(S27:S29)</f>
        <v>42533</v>
      </c>
      <c r="T30" s="251">
        <f>SUM(R30:S30)</f>
        <v>130787</v>
      </c>
    </row>
    <row r="31" spans="1:20" x14ac:dyDescent="0.4">
      <c r="S31" s="252">
        <f>S30-R30</f>
        <v>-45721</v>
      </c>
    </row>
    <row r="33" spans="18:20" x14ac:dyDescent="0.4">
      <c r="R33" s="21"/>
      <c r="S33" s="21"/>
    </row>
    <row r="34" spans="18:20" x14ac:dyDescent="0.4">
      <c r="R34" s="244" t="s">
        <v>365</v>
      </c>
      <c r="S34" s="244" t="s">
        <v>366</v>
      </c>
    </row>
    <row r="35" spans="18:20" x14ac:dyDescent="0.4">
      <c r="R35" s="21">
        <v>1964100</v>
      </c>
      <c r="S35" s="21">
        <v>1964100</v>
      </c>
    </row>
    <row r="36" spans="18:20" x14ac:dyDescent="0.4">
      <c r="R36" s="21">
        <v>1964100</v>
      </c>
      <c r="S36" s="21">
        <v>1964100</v>
      </c>
    </row>
    <row r="37" spans="18:20" x14ac:dyDescent="0.4">
      <c r="R37" s="250">
        <f>SUM(R35:R36)</f>
        <v>3928200</v>
      </c>
      <c r="S37" s="250">
        <f>SUM(S35:S36)</f>
        <v>3928200</v>
      </c>
      <c r="T37" s="251"/>
    </row>
    <row r="38" spans="18:20" x14ac:dyDescent="0.4">
      <c r="S38" s="252">
        <f>S37-R37</f>
        <v>0</v>
      </c>
    </row>
    <row r="41" spans="18:20" x14ac:dyDescent="0.4">
      <c r="R41" s="21"/>
      <c r="S41" s="21"/>
    </row>
    <row r="42" spans="18:20" x14ac:dyDescent="0.4">
      <c r="R42" s="244" t="s">
        <v>365</v>
      </c>
      <c r="S42" s="244" t="s">
        <v>366</v>
      </c>
    </row>
    <row r="43" spans="18:20" x14ac:dyDescent="0.4">
      <c r="R43" s="21"/>
      <c r="S43" s="21">
        <v>649263</v>
      </c>
    </row>
    <row r="44" spans="18:20" x14ac:dyDescent="0.4">
      <c r="R44" s="21"/>
      <c r="S44" s="21">
        <v>244457</v>
      </c>
    </row>
    <row r="45" spans="18:20" x14ac:dyDescent="0.4">
      <c r="R45" s="21"/>
      <c r="S45" s="21">
        <v>4000</v>
      </c>
    </row>
    <row r="46" spans="18:20" x14ac:dyDescent="0.4">
      <c r="R46" s="21">
        <v>4400.96</v>
      </c>
      <c r="S46" s="21"/>
    </row>
    <row r="47" spans="18:20" x14ac:dyDescent="0.4">
      <c r="R47" s="250">
        <f>SUM(R43:R46)</f>
        <v>4400.96</v>
      </c>
      <c r="S47" s="250">
        <f>SUM(S43:S46)</f>
        <v>897720</v>
      </c>
      <c r="T47" s="251">
        <f>SUM(R47:S47)</f>
        <v>902120.95999999996</v>
      </c>
    </row>
    <row r="48" spans="18:20" x14ac:dyDescent="0.4">
      <c r="S48" s="252">
        <f>S47-R47</f>
        <v>893319.04</v>
      </c>
    </row>
    <row r="49" spans="18:20" x14ac:dyDescent="0.4">
      <c r="R49" s="21"/>
      <c r="S49" s="21"/>
    </row>
    <row r="51" spans="18:20" x14ac:dyDescent="0.4">
      <c r="R51" s="244" t="s">
        <v>365</v>
      </c>
      <c r="S51" s="244" t="s">
        <v>366</v>
      </c>
    </row>
    <row r="52" spans="18:20" x14ac:dyDescent="0.4">
      <c r="R52" s="21"/>
      <c r="S52" s="21">
        <f>4100*3</f>
        <v>12300</v>
      </c>
    </row>
    <row r="53" spans="18:20" x14ac:dyDescent="0.4">
      <c r="R53" s="21"/>
      <c r="S53" s="21">
        <v>98341</v>
      </c>
    </row>
    <row r="54" spans="18:20" x14ac:dyDescent="0.4">
      <c r="R54" s="21">
        <v>59283.32</v>
      </c>
      <c r="S54" s="21"/>
    </row>
    <row r="55" spans="18:20" x14ac:dyDescent="0.4">
      <c r="R55" s="21">
        <v>29922</v>
      </c>
      <c r="S55" s="21"/>
    </row>
    <row r="56" spans="18:20" x14ac:dyDescent="0.4">
      <c r="R56" s="21">
        <v>32665</v>
      </c>
    </row>
    <row r="57" spans="18:20" x14ac:dyDescent="0.4">
      <c r="R57" s="250">
        <f>SUM(R52:R56)</f>
        <v>121870.32</v>
      </c>
      <c r="S57" s="250">
        <f>SUM(S52:S56)</f>
        <v>110641</v>
      </c>
      <c r="T57" s="251">
        <f>SUM(R57:S57)</f>
        <v>232511.32</v>
      </c>
    </row>
    <row r="58" spans="18:20" x14ac:dyDescent="0.4">
      <c r="S58" s="252">
        <f>S57-R57</f>
        <v>-11229.320000000007</v>
      </c>
    </row>
  </sheetData>
  <hyperlinks>
    <hyperlink ref="A1" location="'Project Status'!A1" display="'Project Status'!A1" xr:uid="{730CBDDC-4FC5-4C71-90B3-44A3E957215E}"/>
  </hyperlinks>
  <pageMargins left="0.7" right="0.7" top="0.75" bottom="0.75" header="0.3" footer="0.3"/>
  <pageSetup orientation="portrait" horizontalDpi="4294967295" verticalDpi="4294967295"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1"/>
  <sheetViews>
    <sheetView workbookViewId="0">
      <selection activeCell="C12" sqref="C12"/>
    </sheetView>
  </sheetViews>
  <sheetFormatPr defaultRowHeight="14.6" x14ac:dyDescent="0.4"/>
  <cols>
    <col min="2" max="2" width="38.15234375" bestFit="1" customWidth="1"/>
    <col min="3" max="3" width="17.15234375" bestFit="1" customWidth="1"/>
  </cols>
  <sheetData>
    <row r="1" spans="2:3" x14ac:dyDescent="0.4">
      <c r="B1" t="s">
        <v>125</v>
      </c>
      <c r="C1" t="s">
        <v>193</v>
      </c>
    </row>
    <row r="2" spans="2:3" x14ac:dyDescent="0.4">
      <c r="B2" t="s">
        <v>10</v>
      </c>
      <c r="C2" t="s">
        <v>194</v>
      </c>
    </row>
    <row r="3" spans="2:3" x14ac:dyDescent="0.4">
      <c r="B3" t="s">
        <v>12</v>
      </c>
      <c r="C3" t="s">
        <v>196</v>
      </c>
    </row>
    <row r="4" spans="2:3" x14ac:dyDescent="0.4">
      <c r="B4" t="s">
        <v>14</v>
      </c>
      <c r="C4" t="s">
        <v>197</v>
      </c>
    </row>
    <row r="5" spans="2:3" x14ac:dyDescent="0.4">
      <c r="B5" t="s">
        <v>15</v>
      </c>
      <c r="C5" t="s">
        <v>198</v>
      </c>
    </row>
    <row r="6" spans="2:3" x14ac:dyDescent="0.4">
      <c r="B6" t="s">
        <v>154</v>
      </c>
      <c r="C6" t="s">
        <v>199</v>
      </c>
    </row>
    <row r="7" spans="2:3" x14ac:dyDescent="0.4">
      <c r="B7" t="s">
        <v>21</v>
      </c>
      <c r="C7" t="s">
        <v>201</v>
      </c>
    </row>
    <row r="8" spans="2:3" x14ac:dyDescent="0.4">
      <c r="B8" t="s">
        <v>177</v>
      </c>
      <c r="C8" t="s">
        <v>200</v>
      </c>
    </row>
    <row r="9" spans="2:3" x14ac:dyDescent="0.4">
      <c r="B9" t="s">
        <v>26</v>
      </c>
      <c r="C9" t="s">
        <v>195</v>
      </c>
    </row>
    <row r="10" spans="2:3" x14ac:dyDescent="0.4">
      <c r="B10" t="s">
        <v>28</v>
      </c>
      <c r="C10" t="s">
        <v>202</v>
      </c>
    </row>
    <row r="11" spans="2:3" x14ac:dyDescent="0.4">
      <c r="B11" t="s">
        <v>25</v>
      </c>
      <c r="C11" t="s">
        <v>200</v>
      </c>
    </row>
  </sheetData>
  <sortState xmlns:xlrd2="http://schemas.microsoft.com/office/spreadsheetml/2017/richdata2" ref="B2:B10">
    <sortCondition ref="B2:B1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L25"/>
  <sheetViews>
    <sheetView zoomScaleNormal="100" workbookViewId="0">
      <selection activeCell="A2" sqref="A2"/>
    </sheetView>
  </sheetViews>
  <sheetFormatPr defaultRowHeight="14.6" x14ac:dyDescent="0.4"/>
  <cols>
    <col min="1" max="1" width="26.15234375" customWidth="1"/>
    <col min="2" max="2" width="12.53515625" hidden="1" customWidth="1"/>
    <col min="3" max="12" width="13.84375" customWidth="1"/>
  </cols>
  <sheetData>
    <row r="1" spans="1:12" s="8" customFormat="1" x14ac:dyDescent="0.4">
      <c r="A1" s="83" t="s">
        <v>191</v>
      </c>
      <c r="B1"/>
      <c r="D1"/>
      <c r="E1"/>
      <c r="F1"/>
      <c r="G1"/>
      <c r="H1"/>
      <c r="I1"/>
      <c r="J1"/>
      <c r="K1"/>
      <c r="L1"/>
    </row>
    <row r="2" spans="1:12" s="8" customFormat="1" x14ac:dyDescent="0.4">
      <c r="A2" s="20"/>
      <c r="B2" s="34"/>
      <c r="C2"/>
      <c r="D2"/>
      <c r="E2"/>
      <c r="F2"/>
      <c r="G2"/>
      <c r="H2"/>
      <c r="I2"/>
      <c r="J2"/>
      <c r="K2"/>
      <c r="L2"/>
    </row>
    <row r="3" spans="1:12" ht="15" thickBot="1" x14ac:dyDescent="0.45"/>
    <row r="4" spans="1:12" ht="43.75" customHeight="1" x14ac:dyDescent="0.4">
      <c r="A4" s="23" t="s">
        <v>86</v>
      </c>
      <c r="B4" s="23" t="s">
        <v>99</v>
      </c>
      <c r="C4" s="139" t="s">
        <v>251</v>
      </c>
      <c r="D4" s="140" t="s">
        <v>317</v>
      </c>
      <c r="E4" s="141" t="s">
        <v>122</v>
      </c>
      <c r="F4" s="140" t="s">
        <v>316</v>
      </c>
      <c r="G4" s="142" t="s">
        <v>247</v>
      </c>
      <c r="H4" s="151" t="s">
        <v>252</v>
      </c>
      <c r="I4" s="152" t="s">
        <v>318</v>
      </c>
      <c r="J4" s="141" t="s">
        <v>122</v>
      </c>
      <c r="K4" s="152" t="s">
        <v>249</v>
      </c>
      <c r="L4" s="142" t="s">
        <v>250</v>
      </c>
    </row>
    <row r="5" spans="1:12" x14ac:dyDescent="0.4">
      <c r="A5" t="s">
        <v>194</v>
      </c>
      <c r="B5" s="21">
        <f>Contributions!B5</f>
        <v>1075461.7320675128</v>
      </c>
      <c r="C5" s="143">
        <f>Contributions!C5/1000000</f>
        <v>3.6638259999999998</v>
      </c>
      <c r="D5" s="144">
        <f>SUMIF('Project Status'!G:G,'Shared Building Allocation'!A5,'Project Status'!R:R)/1000000</f>
        <v>1.7179739999999999</v>
      </c>
      <c r="E5" s="145">
        <f>D22/1000000</f>
        <v>0.55831562499999998</v>
      </c>
      <c r="F5" s="144">
        <f>D5+E5</f>
        <v>2.276289625</v>
      </c>
      <c r="G5" s="146">
        <f>C5-F5</f>
        <v>1.3875363749999998</v>
      </c>
      <c r="H5" s="153">
        <f>Contributions!G5/1000000</f>
        <v>4.2048135899999997</v>
      </c>
      <c r="I5" s="154">
        <f>SUMIF('Project Status'!G:G,'Shared Building Allocation'!A5,'Project Status'!U:U)/1000000</f>
        <v>1.9072636800000002</v>
      </c>
      <c r="J5" s="145">
        <f>I22/1000000</f>
        <v>-1.540336E-3</v>
      </c>
      <c r="K5" s="154">
        <f t="shared" ref="K5:K13" si="0">I5+J5</f>
        <v>1.9057233440000003</v>
      </c>
      <c r="L5" s="146">
        <f>H5-K5</f>
        <v>2.2990902459999996</v>
      </c>
    </row>
    <row r="6" spans="1:12" x14ac:dyDescent="0.4">
      <c r="A6" t="s">
        <v>196</v>
      </c>
      <c r="B6" s="21">
        <f>Contributions!B6</f>
        <v>121421.42689276834</v>
      </c>
      <c r="C6" s="143">
        <f>Contributions!C6/1000000</f>
        <v>0.41365200000000002</v>
      </c>
      <c r="D6" s="144">
        <f>SUMIF('Project Status'!G:G,'Shared Building Allocation'!A6,'Project Status'!R:R)/1000000</f>
        <v>0.57428999999999997</v>
      </c>
      <c r="E6" s="145"/>
      <c r="F6" s="144">
        <f t="shared" ref="F6:F13" si="1">D6+E6</f>
        <v>0.57428999999999997</v>
      </c>
      <c r="G6" s="146">
        <f t="shared" ref="G6:G13" si="2">C6-F6</f>
        <v>-0.16063799999999995</v>
      </c>
      <c r="H6" s="153">
        <f>Contributions!G6/1000000</f>
        <v>0.48204136999999997</v>
      </c>
      <c r="I6" s="154">
        <f>SUMIF('Project Status'!G:G,'Shared Building Allocation'!A6,'Project Status'!U:U)/1000000</f>
        <v>1.9641</v>
      </c>
      <c r="J6" s="145"/>
      <c r="K6" s="154">
        <f t="shared" si="0"/>
        <v>1.9641</v>
      </c>
      <c r="L6" s="146">
        <f t="shared" ref="L6:L13" si="3">H6-K6</f>
        <v>-1.48205863</v>
      </c>
    </row>
    <row r="7" spans="1:12" x14ac:dyDescent="0.4">
      <c r="A7" t="s">
        <v>197</v>
      </c>
      <c r="B7" s="21">
        <f>Contributions!B7</f>
        <v>57814.730923479161</v>
      </c>
      <c r="C7" s="143">
        <f>Contributions!C7/1000000</f>
        <v>0.19696</v>
      </c>
      <c r="D7" s="144">
        <f>SUMIF('Project Status'!G:G,'Shared Building Allocation'!A7,'Project Status'!R:R)/1000000</f>
        <v>9.6362500000000004E-2</v>
      </c>
      <c r="E7" s="145"/>
      <c r="F7" s="144">
        <f t="shared" si="1"/>
        <v>9.6362500000000004E-2</v>
      </c>
      <c r="G7" s="146">
        <f t="shared" si="2"/>
        <v>0.10059749999999999</v>
      </c>
      <c r="H7" s="153">
        <f>Contributions!G7/1000000</f>
        <v>0.23130411000000001</v>
      </c>
      <c r="I7" s="154">
        <f>SUMIF('Project Status'!G:G,'Shared Building Allocation'!A7,'Project Status'!U:U)/1000000</f>
        <v>3.6603599999999998</v>
      </c>
      <c r="J7" s="145"/>
      <c r="K7" s="154">
        <f t="shared" si="0"/>
        <v>3.6603599999999998</v>
      </c>
      <c r="L7" s="146">
        <f t="shared" si="3"/>
        <v>-3.4290558899999999</v>
      </c>
    </row>
    <row r="8" spans="1:12" x14ac:dyDescent="0.4">
      <c r="A8" t="s">
        <v>198</v>
      </c>
      <c r="B8" s="21">
        <f>Contributions!B8</f>
        <v>537962.332719445</v>
      </c>
      <c r="C8" s="143">
        <f>Contributions!C8/1000000</f>
        <v>1.8327009999999999</v>
      </c>
      <c r="D8" s="144">
        <f>SUMIF('Project Status'!G:G,'Shared Building Allocation'!A8,'Project Status'!R:R)/1000000</f>
        <v>0.35299999999999998</v>
      </c>
      <c r="E8" s="145"/>
      <c r="F8" s="144">
        <f t="shared" si="1"/>
        <v>0.35299999999999998</v>
      </c>
      <c r="G8" s="146">
        <f t="shared" si="2"/>
        <v>1.4797009999999999</v>
      </c>
      <c r="H8" s="153">
        <f>Contributions!G8/1000000</f>
        <v>2.1933376600000001</v>
      </c>
      <c r="I8" s="154">
        <f>SUMIF('Project Status'!G:G,'Shared Building Allocation'!A8,'Project Status'!U:U)/1000000</f>
        <v>2.0249329999999999</v>
      </c>
      <c r="J8" s="145"/>
      <c r="K8" s="154">
        <f t="shared" si="0"/>
        <v>2.0249329999999999</v>
      </c>
      <c r="L8" s="146">
        <f t="shared" si="3"/>
        <v>0.16840466000000021</v>
      </c>
    </row>
    <row r="9" spans="1:12" x14ac:dyDescent="0.4">
      <c r="A9" t="s">
        <v>199</v>
      </c>
      <c r="B9" s="21">
        <f>Contributions!B9</f>
        <v>120155.48460329951</v>
      </c>
      <c r="C9" s="143">
        <f>Contributions!C9/1000000</f>
        <v>0.40933900000000001</v>
      </c>
      <c r="D9" s="144">
        <f>SUMIF('Project Status'!G:G,'Shared Building Allocation'!A9,'Project Status'!R:R)/1000000</f>
        <v>1.2061345000000001</v>
      </c>
      <c r="E9" s="145"/>
      <c r="F9" s="144">
        <f t="shared" si="1"/>
        <v>1.2061345000000001</v>
      </c>
      <c r="G9" s="146">
        <f t="shared" si="2"/>
        <v>-0.7967955000000001</v>
      </c>
      <c r="H9" s="153">
        <f>Contributions!G9/1000000</f>
        <v>0.47701535000000006</v>
      </c>
      <c r="I9" s="154">
        <f>SUMIF('Project Status'!G:G,'Shared Building Allocation'!A9,'Project Status'!U:U)/1000000</f>
        <v>0.38733499999999998</v>
      </c>
      <c r="J9" s="145"/>
      <c r="K9" s="154">
        <f t="shared" si="0"/>
        <v>0.38733499999999998</v>
      </c>
      <c r="L9" s="146">
        <f t="shared" si="3"/>
        <v>8.9680350000000075E-2</v>
      </c>
    </row>
    <row r="10" spans="1:12" x14ac:dyDescent="0.4">
      <c r="A10" t="s">
        <v>201</v>
      </c>
      <c r="B10" s="21">
        <f>Contributions!B10</f>
        <v>280022.39987629937</v>
      </c>
      <c r="C10" s="143">
        <f>Contributions!C10/1000000</f>
        <v>0.95396499999999995</v>
      </c>
      <c r="D10" s="144">
        <f>SUMIF('Project Status'!G:G,'Shared Building Allocation'!A10,'Project Status'!R:R)/1000000</f>
        <v>1.5951875</v>
      </c>
      <c r="E10" s="145">
        <f>-D22/1000000</f>
        <v>-0.55831562499999998</v>
      </c>
      <c r="F10" s="144">
        <f t="shared" si="1"/>
        <v>1.0368718750000001</v>
      </c>
      <c r="G10" s="146">
        <f t="shared" si="2"/>
        <v>-8.2906875000000158E-2</v>
      </c>
      <c r="H10" s="153">
        <f>Contributions!G10/1000000</f>
        <v>1.0547257800000001</v>
      </c>
      <c r="I10" s="154">
        <f>SUMIF('Project Status'!G:G,'Shared Building Allocation'!A10,'Project Status'!U:U)/1000000</f>
        <v>9.3940039999999989E-2</v>
      </c>
      <c r="J10" s="145">
        <f>-I22/1000000</f>
        <v>1.540336E-3</v>
      </c>
      <c r="K10" s="154">
        <f t="shared" si="0"/>
        <v>9.5480375999999992E-2</v>
      </c>
      <c r="L10" s="146">
        <f t="shared" si="3"/>
        <v>0.95924540400000002</v>
      </c>
    </row>
    <row r="11" spans="1:12" x14ac:dyDescent="0.4">
      <c r="A11" t="s">
        <v>200</v>
      </c>
      <c r="B11" s="21">
        <f>Contributions!B11</f>
        <v>106166.70000000001</v>
      </c>
      <c r="C11" s="143">
        <f>Contributions!C11/1000000</f>
        <v>0.36168299999999998</v>
      </c>
      <c r="D11" s="144">
        <f>SUMIF('Project Status'!G:G,'Shared Building Allocation'!A11,'Project Status'!R:R)/1000000</f>
        <v>4.8999999999999998E-3</v>
      </c>
      <c r="E11" s="145"/>
      <c r="F11" s="144">
        <f t="shared" si="1"/>
        <v>4.8999999999999998E-3</v>
      </c>
      <c r="G11" s="146">
        <f t="shared" si="2"/>
        <v>0.35678299999999996</v>
      </c>
      <c r="H11" s="153">
        <f>Contributions!G11/1000000</f>
        <v>0.41981162</v>
      </c>
      <c r="I11" s="154">
        <f>SUMIF('Project Status'!G:G,'Shared Building Allocation'!A11,'Project Status'!U:U)/1000000</f>
        <v>0.25595699999999999</v>
      </c>
      <c r="J11" s="145"/>
      <c r="K11" s="154">
        <f t="shared" si="0"/>
        <v>0.25595699999999999</v>
      </c>
      <c r="L11" s="146">
        <f t="shared" si="3"/>
        <v>0.16385462000000001</v>
      </c>
    </row>
    <row r="12" spans="1:12" x14ac:dyDescent="0.4">
      <c r="A12" t="s">
        <v>195</v>
      </c>
      <c r="B12" s="21">
        <f>Contributions!B12</f>
        <v>59008.361666666671</v>
      </c>
      <c r="C12" s="143">
        <f>Contributions!C12/1000000</f>
        <v>0.20102700000000001</v>
      </c>
      <c r="D12" s="144">
        <f>SUMIF('Project Status'!G:G,'Shared Building Allocation'!A12,'Project Status'!R:R)/1000000</f>
        <v>0.3</v>
      </c>
      <c r="E12" s="145"/>
      <c r="F12" s="144">
        <f t="shared" si="1"/>
        <v>0.3</v>
      </c>
      <c r="G12" s="146">
        <f t="shared" si="2"/>
        <v>-9.8972999999999978E-2</v>
      </c>
      <c r="H12" s="153">
        <f>Contributions!G12/1000000</f>
        <v>0.39358580000000004</v>
      </c>
      <c r="I12" s="154">
        <f>SUMIF('Project Status'!G:G,'Shared Building Allocation'!A12,'Project Status'!U:U)/1000000</f>
        <v>0</v>
      </c>
      <c r="J12" s="145"/>
      <c r="K12" s="154">
        <f t="shared" si="0"/>
        <v>0</v>
      </c>
      <c r="L12" s="146">
        <f t="shared" si="3"/>
        <v>0.39358580000000004</v>
      </c>
    </row>
    <row r="13" spans="1:12" x14ac:dyDescent="0.4">
      <c r="A13" t="s">
        <v>202</v>
      </c>
      <c r="B13" s="21">
        <f>Contributions!B13</f>
        <v>390796.88477064227</v>
      </c>
      <c r="C13" s="143">
        <f>Contributions!C13/1000000</f>
        <v>1.3313459999999999</v>
      </c>
      <c r="D13" s="144">
        <f>SUMIF('Project Status'!G:G,'Shared Building Allocation'!A13,'Project Status'!R:R)/1000000</f>
        <v>2.9494377599999999</v>
      </c>
      <c r="E13" s="145"/>
      <c r="F13" s="144">
        <f t="shared" si="1"/>
        <v>2.9494377599999999</v>
      </c>
      <c r="G13" s="146">
        <f t="shared" si="2"/>
        <v>-1.61809176</v>
      </c>
      <c r="H13" s="153">
        <f>Contributions!G13/1000000</f>
        <v>1.57264801</v>
      </c>
      <c r="I13" s="154">
        <f>SUMIF('Project Status'!G:G,'Shared Building Allocation'!A13,'Project Status'!U:U)/1000000</f>
        <v>0.39803300000000003</v>
      </c>
      <c r="J13" s="145"/>
      <c r="K13" s="154">
        <f t="shared" si="0"/>
        <v>0.39803300000000003</v>
      </c>
      <c r="L13" s="146">
        <f t="shared" si="3"/>
        <v>1.1746150099999999</v>
      </c>
    </row>
    <row r="14" spans="1:12" ht="15" thickBot="1" x14ac:dyDescent="0.45">
      <c r="A14" s="24"/>
      <c r="B14" s="24">
        <v>2748810.0535201132</v>
      </c>
      <c r="C14" s="147">
        <f>SUM(C5:C13)</f>
        <v>9.3644990000000004</v>
      </c>
      <c r="D14" s="148">
        <f>SUM(D5:D13)</f>
        <v>8.7972862599999999</v>
      </c>
      <c r="E14" s="149"/>
      <c r="F14" s="148">
        <f>SUM(F5:F13)</f>
        <v>8.7972862599999999</v>
      </c>
      <c r="G14" s="150">
        <f>SUM(G5:G13)</f>
        <v>0.56721273999999955</v>
      </c>
      <c r="H14" s="155">
        <f>SUM(H5:H13)</f>
        <v>11.02928329</v>
      </c>
      <c r="I14" s="156">
        <f>SUM(I5:I13)</f>
        <v>10.69192172</v>
      </c>
      <c r="J14" s="149"/>
      <c r="K14" s="156">
        <f>SUM(K5:K13)</f>
        <v>10.69192172</v>
      </c>
      <c r="L14" s="150">
        <f>SUM(L5:L13)</f>
        <v>0.33736156999999989</v>
      </c>
    </row>
    <row r="16" spans="1:12" x14ac:dyDescent="0.4">
      <c r="I16" s="36"/>
    </row>
    <row r="17" spans="1:9" x14ac:dyDescent="0.4">
      <c r="I17" s="36"/>
    </row>
    <row r="18" spans="1:9" x14ac:dyDescent="0.4">
      <c r="A18" s="20" t="s">
        <v>118</v>
      </c>
    </row>
    <row r="19" spans="1:9" s="20" customFormat="1" x14ac:dyDescent="0.4">
      <c r="D19" s="30" t="s">
        <v>314</v>
      </c>
      <c r="I19" s="30" t="s">
        <v>315</v>
      </c>
    </row>
    <row r="20" spans="1:9" s="20" customFormat="1" x14ac:dyDescent="0.4">
      <c r="C20" s="50" t="s">
        <v>147</v>
      </c>
      <c r="D20" s="31">
        <f>SUMIF('Project Status'!H:H,'Shared Building Allocation'!C20,'Project Status'!R:R)</f>
        <v>1595187.5</v>
      </c>
      <c r="I20" s="31">
        <f>SUMIF('Project Status'!H:H,'Shared Building Allocation'!C20,'Project Status'!U:U)</f>
        <v>-4400.96</v>
      </c>
    </row>
    <row r="21" spans="1:9" s="20" customFormat="1" ht="6.45" customHeight="1" x14ac:dyDescent="0.4">
      <c r="D21" s="31"/>
      <c r="I21" s="31"/>
    </row>
    <row r="22" spans="1:9" s="20" customFormat="1" x14ac:dyDescent="0.4">
      <c r="C22" s="33" t="s">
        <v>120</v>
      </c>
      <c r="D22" s="31">
        <f>D20*0.35</f>
        <v>558315.625</v>
      </c>
      <c r="I22" s="31">
        <f>I20*0.35</f>
        <v>-1540.336</v>
      </c>
    </row>
    <row r="23" spans="1:9" s="20" customFormat="1" x14ac:dyDescent="0.4">
      <c r="C23" s="33" t="s">
        <v>121</v>
      </c>
      <c r="D23" s="31">
        <f>D20*0.65</f>
        <v>1036871.875</v>
      </c>
      <c r="I23" s="31">
        <f>I20*0.65</f>
        <v>-2860.6240000000003</v>
      </c>
    </row>
    <row r="24" spans="1:9" s="20" customFormat="1" x14ac:dyDescent="0.4">
      <c r="D24" s="32">
        <f>SUM(D22:D23)</f>
        <v>1595187.5</v>
      </c>
      <c r="I24" s="32">
        <f>SUM(I22:I23)</f>
        <v>-4400.96</v>
      </c>
    </row>
    <row r="25" spans="1:9" s="20" customFormat="1" x14ac:dyDescent="0.4"/>
  </sheetData>
  <pageMargins left="0.7" right="0.7" top="0.75" bottom="0.75" header="0.3" footer="0.3"/>
  <pageSetup orientation="landscape" horizontalDpi="4294967295" verticalDpi="4294967295"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6" x14ac:dyDescent="0.4"/>
  <cols>
    <col min="1" max="1" width="70.3828125" bestFit="1" customWidth="1"/>
    <col min="2" max="2" width="18.3046875" bestFit="1" customWidth="1"/>
    <col min="3" max="3" width="32.69140625" bestFit="1" customWidth="1"/>
    <col min="4" max="4" width="10.53515625" bestFit="1" customWidth="1"/>
    <col min="5" max="5" width="14.3828125" bestFit="1" customWidth="1"/>
  </cols>
  <sheetData>
    <row r="2" spans="1:5" x14ac:dyDescent="0.4">
      <c r="A2" s="1" t="s">
        <v>0</v>
      </c>
      <c r="B2" s="1" t="s">
        <v>1</v>
      </c>
      <c r="C2" s="1" t="s">
        <v>2</v>
      </c>
      <c r="D2" s="2" t="s">
        <v>3</v>
      </c>
      <c r="E2" s="1" t="s">
        <v>79</v>
      </c>
    </row>
    <row r="3" spans="1:5" x14ac:dyDescent="0.4">
      <c r="A3" s="3" t="s">
        <v>4</v>
      </c>
      <c r="B3" s="3" t="s">
        <v>5</v>
      </c>
      <c r="C3" s="3" t="s">
        <v>6</v>
      </c>
      <c r="D3" s="4">
        <v>5849.5212318270642</v>
      </c>
      <c r="E3" s="3" t="s">
        <v>80</v>
      </c>
    </row>
    <row r="4" spans="1:5" x14ac:dyDescent="0.4">
      <c r="A4" s="3" t="s">
        <v>7</v>
      </c>
      <c r="B4" s="3" t="s">
        <v>8</v>
      </c>
      <c r="C4" s="3" t="s">
        <v>9</v>
      </c>
      <c r="D4" s="4">
        <v>26280.621188951438</v>
      </c>
      <c r="E4" s="3" t="s">
        <v>80</v>
      </c>
    </row>
    <row r="5" spans="1:5" x14ac:dyDescent="0.4">
      <c r="A5" s="3" t="s">
        <v>10</v>
      </c>
      <c r="B5" s="3" t="s">
        <v>11</v>
      </c>
      <c r="C5" s="3" t="s">
        <v>9</v>
      </c>
      <c r="D5" s="4">
        <v>1075461.7320675128</v>
      </c>
      <c r="E5" s="3" t="s">
        <v>81</v>
      </c>
    </row>
    <row r="6" spans="1:5" x14ac:dyDescent="0.4">
      <c r="A6" s="3" t="s">
        <v>12</v>
      </c>
      <c r="B6" s="3" t="s">
        <v>13</v>
      </c>
      <c r="C6" s="3" t="s">
        <v>9</v>
      </c>
      <c r="D6" s="4">
        <v>121421.42689276834</v>
      </c>
      <c r="E6" s="3" t="s">
        <v>81</v>
      </c>
    </row>
    <row r="7" spans="1:5" x14ac:dyDescent="0.4">
      <c r="A7" s="3" t="s">
        <v>14</v>
      </c>
      <c r="B7" s="3" t="s">
        <v>13</v>
      </c>
      <c r="C7" s="3" t="s">
        <v>9</v>
      </c>
      <c r="D7" s="4">
        <v>57814.730923479161</v>
      </c>
      <c r="E7" s="3" t="s">
        <v>81</v>
      </c>
    </row>
    <row r="8" spans="1:5" x14ac:dyDescent="0.4">
      <c r="A8" s="3" t="s">
        <v>15</v>
      </c>
      <c r="B8" s="3" t="s">
        <v>16</v>
      </c>
      <c r="C8" s="3" t="s">
        <v>9</v>
      </c>
      <c r="D8" s="4">
        <v>537962.332719445</v>
      </c>
      <c r="E8" s="3" t="s">
        <v>81</v>
      </c>
    </row>
    <row r="9" spans="1:5" x14ac:dyDescent="0.4">
      <c r="A9" s="3" t="s">
        <v>17</v>
      </c>
      <c r="B9" s="3" t="s">
        <v>18</v>
      </c>
      <c r="C9" s="3" t="s">
        <v>9</v>
      </c>
      <c r="D9" s="4">
        <v>6753.6106722595432</v>
      </c>
      <c r="E9" s="3" t="s">
        <v>80</v>
      </c>
    </row>
    <row r="10" spans="1:5" x14ac:dyDescent="0.4">
      <c r="A10" s="3" t="s">
        <v>19</v>
      </c>
      <c r="B10" s="3" t="s">
        <v>20</v>
      </c>
      <c r="C10" s="3" t="s">
        <v>9</v>
      </c>
      <c r="D10" s="4">
        <v>120155.48460329951</v>
      </c>
      <c r="E10" s="3" t="s">
        <v>81</v>
      </c>
    </row>
    <row r="11" spans="1:5" x14ac:dyDescent="0.4">
      <c r="A11" s="3" t="s">
        <v>21</v>
      </c>
      <c r="B11" s="3" t="s">
        <v>22</v>
      </c>
      <c r="C11" s="3" t="s">
        <v>9</v>
      </c>
      <c r="D11" s="4">
        <v>280022.39987629937</v>
      </c>
      <c r="E11" s="3" t="s">
        <v>81</v>
      </c>
    </row>
    <row r="12" spans="1:5" x14ac:dyDescent="0.4">
      <c r="A12" s="3" t="s">
        <v>23</v>
      </c>
      <c r="B12" s="3" t="s">
        <v>24</v>
      </c>
      <c r="C12" s="3" t="s">
        <v>9</v>
      </c>
      <c r="D12" s="4">
        <v>42799</v>
      </c>
      <c r="E12" s="3" t="s">
        <v>80</v>
      </c>
    </row>
    <row r="13" spans="1:5" x14ac:dyDescent="0.4">
      <c r="A13" s="3" t="s">
        <v>25</v>
      </c>
      <c r="B13" s="3" t="s">
        <v>24</v>
      </c>
      <c r="C13" s="3" t="s">
        <v>9</v>
      </c>
      <c r="D13" s="4">
        <v>106166.70000000001</v>
      </c>
      <c r="E13" s="3" t="s">
        <v>81</v>
      </c>
    </row>
    <row r="14" spans="1:5" x14ac:dyDescent="0.4">
      <c r="A14" s="3" t="s">
        <v>26</v>
      </c>
      <c r="B14" s="3" t="s">
        <v>27</v>
      </c>
      <c r="C14" s="3" t="s">
        <v>9</v>
      </c>
      <c r="D14" s="4">
        <v>59008.361666666671</v>
      </c>
      <c r="E14" s="3" t="s">
        <v>81</v>
      </c>
    </row>
    <row r="15" spans="1:5" x14ac:dyDescent="0.4">
      <c r="A15" s="3" t="s">
        <v>28</v>
      </c>
      <c r="B15" s="3" t="s">
        <v>29</v>
      </c>
      <c r="C15" s="3" t="s">
        <v>9</v>
      </c>
      <c r="D15" s="4">
        <v>390796.88477064227</v>
      </c>
      <c r="E15" s="3" t="s">
        <v>81</v>
      </c>
    </row>
    <row r="16" spans="1:5" x14ac:dyDescent="0.4">
      <c r="A16" s="3" t="s">
        <v>30</v>
      </c>
      <c r="B16" s="3" t="s">
        <v>18</v>
      </c>
      <c r="C16" s="3" t="s">
        <v>9</v>
      </c>
      <c r="D16" s="4">
        <v>25005.846570989575</v>
      </c>
      <c r="E16" s="3" t="s">
        <v>80</v>
      </c>
    </row>
    <row r="17" spans="1:5" x14ac:dyDescent="0.4">
      <c r="A17" s="3" t="s">
        <v>31</v>
      </c>
      <c r="B17" s="3" t="s">
        <v>18</v>
      </c>
      <c r="C17" s="3" t="s">
        <v>9</v>
      </c>
      <c r="D17" s="4">
        <v>51044.647118252149</v>
      </c>
      <c r="E17" s="3" t="s">
        <v>80</v>
      </c>
    </row>
    <row r="18" spans="1:5" x14ac:dyDescent="0.4">
      <c r="A18" s="3" t="s">
        <v>32</v>
      </c>
      <c r="B18" s="3" t="s">
        <v>8</v>
      </c>
      <c r="C18" s="3" t="s">
        <v>9</v>
      </c>
      <c r="D18" s="4">
        <v>99496.175879514602</v>
      </c>
      <c r="E18" s="3" t="s">
        <v>80</v>
      </c>
    </row>
    <row r="19" spans="1:5" x14ac:dyDescent="0.4">
      <c r="A19" s="3" t="s">
        <v>33</v>
      </c>
      <c r="B19" s="3" t="s">
        <v>8</v>
      </c>
      <c r="C19" s="3" t="s">
        <v>9</v>
      </c>
      <c r="D19" s="4">
        <v>15307.647421373516</v>
      </c>
      <c r="E19" s="3" t="s">
        <v>80</v>
      </c>
    </row>
    <row r="20" spans="1:5" x14ac:dyDescent="0.4">
      <c r="A20" s="3" t="s">
        <v>34</v>
      </c>
      <c r="B20" s="3" t="s">
        <v>35</v>
      </c>
      <c r="C20" s="3" t="s">
        <v>9</v>
      </c>
      <c r="D20" s="4">
        <v>2116760.1201187787</v>
      </c>
      <c r="E20" s="3" t="s">
        <v>80</v>
      </c>
    </row>
    <row r="21" spans="1:5" x14ac:dyDescent="0.4">
      <c r="A21" s="3" t="s">
        <v>36</v>
      </c>
      <c r="B21" s="3" t="s">
        <v>37</v>
      </c>
      <c r="C21" s="3" t="s">
        <v>9</v>
      </c>
      <c r="D21" s="4">
        <v>246476.61719623115</v>
      </c>
      <c r="E21" s="3" t="s">
        <v>80</v>
      </c>
    </row>
    <row r="22" spans="1:5" x14ac:dyDescent="0.4">
      <c r="A22" s="3" t="s">
        <v>38</v>
      </c>
      <c r="B22" s="3" t="s">
        <v>37</v>
      </c>
      <c r="C22" s="3" t="s">
        <v>9</v>
      </c>
      <c r="D22" s="4">
        <v>131042.94999999998</v>
      </c>
      <c r="E22" s="3" t="s">
        <v>80</v>
      </c>
    </row>
    <row r="23" spans="1:5" x14ac:dyDescent="0.4">
      <c r="A23" s="3" t="s">
        <v>39</v>
      </c>
      <c r="B23" s="3" t="s">
        <v>40</v>
      </c>
      <c r="C23" s="3" t="s">
        <v>9</v>
      </c>
      <c r="D23" s="4">
        <v>523095.4248675995</v>
      </c>
      <c r="E23" s="3" t="s">
        <v>80</v>
      </c>
    </row>
    <row r="24" spans="1:5" x14ac:dyDescent="0.4">
      <c r="A24" s="3" t="s">
        <v>41</v>
      </c>
      <c r="B24" s="3" t="s">
        <v>42</v>
      </c>
      <c r="C24" s="3" t="s">
        <v>43</v>
      </c>
      <c r="D24" s="4">
        <v>431.32019922397944</v>
      </c>
      <c r="E24" s="3" t="s">
        <v>80</v>
      </c>
    </row>
    <row r="25" spans="1:5" x14ac:dyDescent="0.4">
      <c r="A25" s="3" t="s">
        <v>44</v>
      </c>
      <c r="B25" s="3" t="s">
        <v>42</v>
      </c>
      <c r="C25" s="3" t="s">
        <v>43</v>
      </c>
      <c r="D25" s="4">
        <v>285287.78480573674</v>
      </c>
      <c r="E25" s="3" t="s">
        <v>80</v>
      </c>
    </row>
    <row r="26" spans="1:5" x14ac:dyDescent="0.4">
      <c r="A26" s="3" t="s">
        <v>45</v>
      </c>
      <c r="B26" s="3" t="s">
        <v>46</v>
      </c>
      <c r="C26" s="3" t="s">
        <v>43</v>
      </c>
      <c r="D26" s="4">
        <v>106777.90023232829</v>
      </c>
      <c r="E26" s="3" t="s">
        <v>80</v>
      </c>
    </row>
    <row r="27" spans="1:5" x14ac:dyDescent="0.4">
      <c r="A27" s="3" t="s">
        <v>47</v>
      </c>
      <c r="B27" s="3" t="s">
        <v>42</v>
      </c>
      <c r="C27" s="3" t="s">
        <v>43</v>
      </c>
      <c r="D27" s="4">
        <v>21719.545840799812</v>
      </c>
      <c r="E27" s="3" t="s">
        <v>80</v>
      </c>
    </row>
    <row r="28" spans="1:5" x14ac:dyDescent="0.4">
      <c r="A28" s="3" t="s">
        <v>48</v>
      </c>
      <c r="B28" s="3" t="s">
        <v>49</v>
      </c>
      <c r="C28" s="3" t="s">
        <v>43</v>
      </c>
      <c r="D28" s="4">
        <v>21792.819999999996</v>
      </c>
      <c r="E28" s="3" t="s">
        <v>80</v>
      </c>
    </row>
    <row r="29" spans="1:5" x14ac:dyDescent="0.4">
      <c r="A29" s="3" t="s">
        <v>50</v>
      </c>
      <c r="B29" s="3" t="s">
        <v>51</v>
      </c>
      <c r="C29" s="3" t="s">
        <v>52</v>
      </c>
      <c r="D29" s="4">
        <v>493496.09898442903</v>
      </c>
      <c r="E29" s="3" t="s">
        <v>80</v>
      </c>
    </row>
    <row r="30" spans="1:5" x14ac:dyDescent="0.4">
      <c r="A30" s="3" t="s">
        <v>53</v>
      </c>
      <c r="B30" s="3" t="s">
        <v>51</v>
      </c>
      <c r="C30" s="3" t="s">
        <v>52</v>
      </c>
      <c r="D30" s="4">
        <v>312213.46000000002</v>
      </c>
      <c r="E30" s="3" t="s">
        <v>80</v>
      </c>
    </row>
    <row r="31" spans="1:5" x14ac:dyDescent="0.4">
      <c r="A31" s="3" t="s">
        <v>54</v>
      </c>
      <c r="B31" s="3" t="s">
        <v>55</v>
      </c>
      <c r="C31" s="3" t="s">
        <v>56</v>
      </c>
      <c r="D31" s="4">
        <v>672.18763024106249</v>
      </c>
      <c r="E31" s="3" t="s">
        <v>80</v>
      </c>
    </row>
    <row r="32" spans="1:5" x14ac:dyDescent="0.4">
      <c r="A32" s="3" t="s">
        <v>57</v>
      </c>
      <c r="B32" s="3" t="s">
        <v>58</v>
      </c>
      <c r="C32" s="3" t="s">
        <v>59</v>
      </c>
      <c r="D32" s="4">
        <v>1761.2529048317913</v>
      </c>
      <c r="E32" s="3" t="s">
        <v>80</v>
      </c>
    </row>
    <row r="33" spans="1:5" x14ac:dyDescent="0.4">
      <c r="A33" s="3" t="s">
        <v>60</v>
      </c>
      <c r="B33" s="3" t="s">
        <v>82</v>
      </c>
      <c r="C33" s="3" t="s">
        <v>61</v>
      </c>
      <c r="D33" s="4">
        <v>22966.119999999995</v>
      </c>
      <c r="E33" s="3" t="s">
        <v>80</v>
      </c>
    </row>
    <row r="34" spans="1:5" x14ac:dyDescent="0.4">
      <c r="A34" s="3" t="s">
        <v>62</v>
      </c>
      <c r="B34" s="3" t="s">
        <v>63</v>
      </c>
      <c r="C34" s="3" t="s">
        <v>64</v>
      </c>
      <c r="D34" s="4">
        <v>26591.941165500408</v>
      </c>
      <c r="E34" s="3" t="s">
        <v>80</v>
      </c>
    </row>
    <row r="35" spans="1:5" x14ac:dyDescent="0.4">
      <c r="A35" s="3" t="s">
        <v>65</v>
      </c>
      <c r="B35" s="3" t="s">
        <v>83</v>
      </c>
      <c r="C35" s="3" t="s">
        <v>66</v>
      </c>
      <c r="D35" s="4">
        <v>0</v>
      </c>
      <c r="E35" s="3" t="s">
        <v>80</v>
      </c>
    </row>
    <row r="36" spans="1:5" x14ac:dyDescent="0.4">
      <c r="A36" s="3" t="s">
        <v>67</v>
      </c>
      <c r="B36" s="3" t="s">
        <v>68</v>
      </c>
      <c r="C36" s="3" t="s">
        <v>69</v>
      </c>
      <c r="D36" s="4">
        <v>58330.768879439645</v>
      </c>
      <c r="E36" s="3" t="s">
        <v>80</v>
      </c>
    </row>
    <row r="37" spans="1:5" x14ac:dyDescent="0.4">
      <c r="A37" s="3" t="s">
        <v>70</v>
      </c>
      <c r="B37" s="3" t="s">
        <v>71</v>
      </c>
      <c r="C37" s="3" t="s">
        <v>72</v>
      </c>
      <c r="D37" s="4">
        <v>2917.0406595366862</v>
      </c>
      <c r="E37" s="3" t="s">
        <v>80</v>
      </c>
    </row>
    <row r="38" spans="1:5" x14ac:dyDescent="0.4">
      <c r="A38" s="3" t="s">
        <v>73</v>
      </c>
      <c r="B38" s="3" t="s">
        <v>84</v>
      </c>
      <c r="C38" s="3" t="s">
        <v>74</v>
      </c>
      <c r="D38" s="4">
        <v>0</v>
      </c>
      <c r="E38" s="3" t="s">
        <v>80</v>
      </c>
    </row>
    <row r="39" spans="1:5" x14ac:dyDescent="0.4">
      <c r="A39" s="3" t="s">
        <v>75</v>
      </c>
      <c r="B39" s="3" t="s">
        <v>76</v>
      </c>
      <c r="C39" s="3" t="s">
        <v>77</v>
      </c>
      <c r="D39" s="4">
        <v>7838.8727495560652</v>
      </c>
      <c r="E39" s="3" t="s">
        <v>80</v>
      </c>
    </row>
    <row r="40" spans="1:5" x14ac:dyDescent="0.4">
      <c r="A40" s="3" t="s">
        <v>78</v>
      </c>
      <c r="B40" s="3" t="s">
        <v>85</v>
      </c>
      <c r="C40" s="3" t="s">
        <v>6</v>
      </c>
      <c r="D40" s="4">
        <v>0</v>
      </c>
      <c r="E40" s="3" t="s">
        <v>80</v>
      </c>
    </row>
    <row r="41" spans="1:5" x14ac:dyDescent="0.4">
      <c r="A41" s="1"/>
      <c r="B41" s="1"/>
      <c r="C41" s="1"/>
      <c r="D41" s="5">
        <f>SUM(D2:D40)</f>
        <v>7401519.3498375136</v>
      </c>
      <c r="E41" s="1"/>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6" x14ac:dyDescent="0.4"/>
  <cols>
    <col min="1" max="1" width="4.3828125" customWidth="1"/>
  </cols>
  <sheetData>
    <row r="3" spans="2:2" ht="18" x14ac:dyDescent="0.4">
      <c r="B3" s="6" t="s">
        <v>91</v>
      </c>
    </row>
    <row r="4" spans="2:2" ht="18" x14ac:dyDescent="0.4">
      <c r="B4" s="6"/>
    </row>
    <row r="5" spans="2:2" ht="18" x14ac:dyDescent="0.4">
      <c r="B5" s="6"/>
    </row>
    <row r="6" spans="2:2" ht="18" x14ac:dyDescent="0.4">
      <c r="B6" s="6"/>
    </row>
    <row r="7" spans="2:2" ht="18" x14ac:dyDescent="0.4">
      <c r="B7" s="6" t="s">
        <v>92</v>
      </c>
    </row>
    <row r="8" spans="2:2" ht="18" x14ac:dyDescent="0.4">
      <c r="B8" s="7" t="s">
        <v>93</v>
      </c>
    </row>
    <row r="9" spans="2:2" ht="18" x14ac:dyDescent="0.4">
      <c r="B9" s="7"/>
    </row>
    <row r="10" spans="2:2" ht="18" x14ac:dyDescent="0.4">
      <c r="B10" s="7"/>
    </row>
    <row r="11" spans="2:2" ht="18" x14ac:dyDescent="0.4">
      <c r="B11" s="7"/>
    </row>
    <row r="12" spans="2:2" ht="18" x14ac:dyDescent="0.4">
      <c r="B12" s="6" t="s">
        <v>94</v>
      </c>
    </row>
    <row r="13" spans="2:2" ht="18" x14ac:dyDescent="0.4">
      <c r="B13" s="7" t="s">
        <v>96</v>
      </c>
    </row>
    <row r="14" spans="2:2" ht="18" x14ac:dyDescent="0.4">
      <c r="B14" s="7" t="s">
        <v>98</v>
      </c>
    </row>
    <row r="15" spans="2:2" ht="18" x14ac:dyDescent="0.4">
      <c r="B15" s="7"/>
    </row>
    <row r="16" spans="2:2" ht="18" x14ac:dyDescent="0.4">
      <c r="B16" s="7"/>
    </row>
    <row r="17" spans="2:2" ht="18" x14ac:dyDescent="0.4">
      <c r="B17" s="6" t="s">
        <v>95</v>
      </c>
    </row>
    <row r="18" spans="2:2" ht="18" x14ac:dyDescent="0.4">
      <c r="B18" s="7"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sheetPr>
  <dimension ref="A1:C11"/>
  <sheetViews>
    <sheetView zoomScaleNormal="100" workbookViewId="0">
      <pane ySplit="3" topLeftCell="A4" activePane="bottomLeft" state="frozen"/>
      <selection pane="bottomLeft" activeCell="E23" sqref="E23"/>
    </sheetView>
  </sheetViews>
  <sheetFormatPr defaultRowHeight="14.6" x14ac:dyDescent="0.4"/>
  <cols>
    <col min="1" max="1" width="51" bestFit="1" customWidth="1"/>
    <col min="2" max="2" width="16.69140625" bestFit="1" customWidth="1"/>
    <col min="3" max="3" width="17.3046875" bestFit="1" customWidth="1"/>
    <col min="4" max="4" width="16" bestFit="1" customWidth="1"/>
  </cols>
  <sheetData>
    <row r="1" spans="1:3" s="8" customFormat="1" x14ac:dyDescent="0.4">
      <c r="A1" s="10" t="s">
        <v>204</v>
      </c>
      <c r="B1"/>
      <c r="C1"/>
    </row>
    <row r="3" spans="1:3" x14ac:dyDescent="0.4">
      <c r="A3" s="25" t="s">
        <v>115</v>
      </c>
      <c r="B3" t="s">
        <v>119</v>
      </c>
      <c r="C3" t="s">
        <v>117</v>
      </c>
    </row>
    <row r="4" spans="1:3" x14ac:dyDescent="0.4">
      <c r="A4" s="26" t="s">
        <v>154</v>
      </c>
      <c r="B4" s="27">
        <v>1845389</v>
      </c>
      <c r="C4" s="27">
        <v>1928829</v>
      </c>
    </row>
    <row r="5" spans="1:3" x14ac:dyDescent="0.4">
      <c r="A5" s="22" t="s">
        <v>269</v>
      </c>
      <c r="B5" s="27">
        <v>400000</v>
      </c>
      <c r="C5" s="27">
        <v>483440</v>
      </c>
    </row>
    <row r="6" spans="1:3" x14ac:dyDescent="0.4">
      <c r="A6" s="208" t="s">
        <v>283</v>
      </c>
      <c r="B6" s="27">
        <v>400000</v>
      </c>
      <c r="C6" s="27">
        <v>483440</v>
      </c>
    </row>
    <row r="7" spans="1:3" x14ac:dyDescent="0.4">
      <c r="A7" s="22" t="s">
        <v>300</v>
      </c>
      <c r="B7" s="27">
        <v>1445389</v>
      </c>
      <c r="C7" s="27">
        <v>1445389</v>
      </c>
    </row>
    <row r="8" spans="1:3" x14ac:dyDescent="0.4">
      <c r="A8" s="208" t="s">
        <v>281</v>
      </c>
      <c r="B8" s="27">
        <v>1445389</v>
      </c>
      <c r="C8" s="27">
        <v>1445389</v>
      </c>
    </row>
    <row r="9" spans="1:3" x14ac:dyDescent="0.4">
      <c r="A9" s="22" t="s">
        <v>388</v>
      </c>
      <c r="B9" s="27"/>
      <c r="C9" s="27">
        <v>0</v>
      </c>
    </row>
    <row r="10" spans="1:3" x14ac:dyDescent="0.4">
      <c r="A10" s="208" t="s">
        <v>369</v>
      </c>
      <c r="B10" s="27"/>
      <c r="C10" s="27">
        <v>0</v>
      </c>
    </row>
    <row r="11" spans="1:3" x14ac:dyDescent="0.4">
      <c r="A11" s="26" t="s">
        <v>116</v>
      </c>
      <c r="B11" s="27">
        <v>1845389</v>
      </c>
      <c r="C11" s="27">
        <v>1928829</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65439-1475-431C-BDA1-303315028440}">
  <sheetPr>
    <tabColor theme="7"/>
  </sheetPr>
  <dimension ref="A1:F30"/>
  <sheetViews>
    <sheetView zoomScaleNormal="100" workbookViewId="0">
      <pane ySplit="3" topLeftCell="A4" activePane="bottomLeft" state="frozen"/>
      <selection pane="bottomLeft" activeCell="A20" sqref="A20"/>
    </sheetView>
  </sheetViews>
  <sheetFormatPr defaultRowHeight="14.6" x14ac:dyDescent="0.4"/>
  <cols>
    <col min="1" max="1" width="30.3046875" bestFit="1" customWidth="1"/>
    <col min="2" max="2" width="11" bestFit="1" customWidth="1"/>
    <col min="3" max="4" width="12.84375" bestFit="1" customWidth="1"/>
    <col min="5" max="5" width="15.69140625" bestFit="1" customWidth="1"/>
    <col min="9" max="10" width="15.69140625" bestFit="1" customWidth="1"/>
  </cols>
  <sheetData>
    <row r="1" spans="1:5" s="8" customFormat="1" x14ac:dyDescent="0.4">
      <c r="A1" s="10" t="s">
        <v>337</v>
      </c>
      <c r="B1"/>
      <c r="C1"/>
    </row>
    <row r="3" spans="1:5" x14ac:dyDescent="0.4">
      <c r="A3" s="25" t="s">
        <v>115</v>
      </c>
      <c r="B3" t="s">
        <v>334</v>
      </c>
      <c r="C3" t="s">
        <v>335</v>
      </c>
      <c r="D3" t="s">
        <v>336</v>
      </c>
      <c r="E3" t="s">
        <v>401</v>
      </c>
    </row>
    <row r="4" spans="1:5" x14ac:dyDescent="0.4">
      <c r="A4" s="26" t="s">
        <v>101</v>
      </c>
      <c r="B4" s="27">
        <v>135926.15</v>
      </c>
      <c r="C4" s="27">
        <v>93262.5</v>
      </c>
      <c r="D4" s="27">
        <v>5624460</v>
      </c>
      <c r="E4">
        <v>2</v>
      </c>
    </row>
    <row r="5" spans="1:5" x14ac:dyDescent="0.4">
      <c r="A5" s="26" t="s">
        <v>100</v>
      </c>
      <c r="B5" s="27">
        <v>479363.73</v>
      </c>
      <c r="C5" s="27">
        <v>1235593</v>
      </c>
      <c r="D5" s="27">
        <v>85233</v>
      </c>
      <c r="E5">
        <v>11</v>
      </c>
    </row>
    <row r="6" spans="1:5" x14ac:dyDescent="0.4">
      <c r="A6" s="26" t="s">
        <v>323</v>
      </c>
      <c r="B6" s="27">
        <v>755248.26</v>
      </c>
      <c r="C6" s="27">
        <v>466067.76</v>
      </c>
      <c r="D6" s="27">
        <v>-88254</v>
      </c>
      <c r="E6">
        <v>5</v>
      </c>
    </row>
    <row r="7" spans="1:5" x14ac:dyDescent="0.4">
      <c r="A7" s="26" t="s">
        <v>269</v>
      </c>
      <c r="B7" s="27">
        <v>3274180.99</v>
      </c>
      <c r="C7" s="27">
        <v>3431313.5</v>
      </c>
      <c r="D7" s="27">
        <v>25553.040000000001</v>
      </c>
      <c r="E7">
        <v>7</v>
      </c>
    </row>
    <row r="8" spans="1:5" x14ac:dyDescent="0.4">
      <c r="A8" s="26" t="s">
        <v>267</v>
      </c>
      <c r="B8" s="27">
        <v>14407.5</v>
      </c>
      <c r="C8" s="27">
        <v>26500</v>
      </c>
      <c r="D8" s="27">
        <v>0</v>
      </c>
      <c r="E8">
        <v>7</v>
      </c>
    </row>
    <row r="9" spans="1:5" x14ac:dyDescent="0.4">
      <c r="A9" s="26" t="s">
        <v>300</v>
      </c>
      <c r="B9" s="27">
        <v>5493035.3599999994</v>
      </c>
      <c r="C9" s="27">
        <v>3510399.5</v>
      </c>
      <c r="D9" s="27">
        <v>1028900</v>
      </c>
      <c r="E9">
        <v>9</v>
      </c>
    </row>
    <row r="10" spans="1:5" x14ac:dyDescent="0.4">
      <c r="A10" s="26" t="s">
        <v>178</v>
      </c>
      <c r="B10" s="27">
        <v>83307.5</v>
      </c>
      <c r="C10" s="27">
        <v>34150</v>
      </c>
      <c r="D10" s="27">
        <v>905220</v>
      </c>
      <c r="E10">
        <v>3</v>
      </c>
    </row>
    <row r="11" spans="1:5" x14ac:dyDescent="0.4">
      <c r="A11" s="26" t="s">
        <v>224</v>
      </c>
      <c r="B11" s="27">
        <v>0</v>
      </c>
      <c r="C11" s="27">
        <v>0</v>
      </c>
      <c r="D11" s="27">
        <v>119941</v>
      </c>
      <c r="E11">
        <v>3</v>
      </c>
    </row>
    <row r="12" spans="1:5" x14ac:dyDescent="0.4">
      <c r="A12" s="26" t="s">
        <v>388</v>
      </c>
      <c r="B12" s="27">
        <v>0</v>
      </c>
      <c r="C12" s="27"/>
      <c r="D12" s="27"/>
      <c r="E12">
        <v>1</v>
      </c>
    </row>
    <row r="13" spans="1:5" x14ac:dyDescent="0.4">
      <c r="A13" s="26" t="s">
        <v>410</v>
      </c>
      <c r="B13" s="27"/>
      <c r="C13" s="27"/>
      <c r="D13" s="27"/>
      <c r="E13">
        <v>1</v>
      </c>
    </row>
    <row r="14" spans="1:5" x14ac:dyDescent="0.4">
      <c r="A14" s="26" t="s">
        <v>116</v>
      </c>
      <c r="B14" s="27">
        <v>10235469.49</v>
      </c>
      <c r="C14" s="27">
        <v>8797286.2599999998</v>
      </c>
      <c r="D14" s="27">
        <v>7701053.04</v>
      </c>
      <c r="E14">
        <v>49</v>
      </c>
    </row>
    <row r="30" spans="6:6" x14ac:dyDescent="0.4">
      <c r="F30" s="27"/>
    </row>
  </sheetData>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tint="-0.499984740745262"/>
  </sheetPr>
  <dimension ref="A1:Y98"/>
  <sheetViews>
    <sheetView topLeftCell="C1" zoomScale="90" zoomScaleNormal="90" workbookViewId="0">
      <pane ySplit="3" topLeftCell="A31" activePane="bottomLeft" state="frozen"/>
      <selection pane="bottomLeft" activeCell="C54" sqref="C54"/>
    </sheetView>
  </sheetViews>
  <sheetFormatPr defaultColWidth="9.15234375" defaultRowHeight="14.6" outlineLevelRow="1" outlineLevelCol="1" x14ac:dyDescent="0.4"/>
  <cols>
    <col min="1" max="1" width="4.53515625" style="86" customWidth="1"/>
    <col min="2" max="2" width="11.69140625" style="86" hidden="1" customWidth="1" outlineLevel="1"/>
    <col min="3" max="3" width="8.53515625" style="86" customWidth="1" collapsed="1"/>
    <col min="4" max="4" width="6.3046875" style="86" hidden="1" customWidth="1" outlineLevel="1"/>
    <col min="5" max="5" width="10.3046875" style="86" hidden="1" customWidth="1" outlineLevel="1"/>
    <col min="6" max="6" width="37.53515625" style="86" hidden="1" customWidth="1" outlineLevel="1"/>
    <col min="7" max="7" width="17.3828125" style="86" hidden="1" customWidth="1" outlineLevel="1"/>
    <col min="8" max="8" width="28" style="86" hidden="1" customWidth="1" outlineLevel="1"/>
    <col min="9" max="9" width="59.15234375" style="86" bestFit="1" customWidth="1" collapsed="1"/>
    <col min="10" max="10" width="32.15234375" style="86" bestFit="1" customWidth="1"/>
    <col min="11" max="11" width="21.84375" style="86" bestFit="1" customWidth="1"/>
    <col min="12" max="12" width="15" style="112" customWidth="1"/>
    <col min="13" max="16" width="15" style="112" hidden="1" customWidth="1" outlineLevel="1"/>
    <col min="17" max="17" width="15" style="112" customWidth="1" collapsed="1"/>
    <col min="18" max="23" width="15" style="112" customWidth="1"/>
    <col min="24" max="24" width="116.53515625" style="86" customWidth="1"/>
    <col min="25" max="25" width="9.15234375" style="248"/>
    <col min="26" max="16384" width="9.15234375" style="86"/>
  </cols>
  <sheetData>
    <row r="1" spans="1:25" x14ac:dyDescent="0.4">
      <c r="A1" s="84" t="s">
        <v>192</v>
      </c>
      <c r="R1" s="167" t="s">
        <v>277</v>
      </c>
      <c r="U1" s="204" t="s">
        <v>319</v>
      </c>
    </row>
    <row r="2" spans="1:25" x14ac:dyDescent="0.4">
      <c r="A2" s="87"/>
      <c r="E2" s="88"/>
      <c r="F2" s="89"/>
      <c r="G2" s="89"/>
    </row>
    <row r="3" spans="1:25" s="85" customFormat="1" ht="29.15" x14ac:dyDescent="0.4">
      <c r="A3" s="9"/>
      <c r="B3" s="9" t="s">
        <v>229</v>
      </c>
      <c r="C3" s="9" t="s">
        <v>125</v>
      </c>
      <c r="D3" s="9" t="s">
        <v>126</v>
      </c>
      <c r="E3" s="9" t="s">
        <v>127</v>
      </c>
      <c r="F3" s="90" t="s">
        <v>86</v>
      </c>
      <c r="G3" s="90" t="s">
        <v>203</v>
      </c>
      <c r="H3" s="90" t="s">
        <v>114</v>
      </c>
      <c r="I3" s="90" t="s">
        <v>87</v>
      </c>
      <c r="J3" s="9" t="s">
        <v>128</v>
      </c>
      <c r="K3" s="9" t="s">
        <v>129</v>
      </c>
      <c r="L3" s="113" t="s">
        <v>133</v>
      </c>
      <c r="M3" s="114" t="s">
        <v>130</v>
      </c>
      <c r="N3" s="114" t="s">
        <v>131</v>
      </c>
      <c r="O3" s="114" t="s">
        <v>132</v>
      </c>
      <c r="P3" s="114" t="s">
        <v>223</v>
      </c>
      <c r="Q3" s="113" t="s">
        <v>396</v>
      </c>
      <c r="R3" s="115" t="s">
        <v>244</v>
      </c>
      <c r="S3" s="123" t="s">
        <v>312</v>
      </c>
      <c r="T3" s="123" t="s">
        <v>246</v>
      </c>
      <c r="U3" s="199" t="s">
        <v>311</v>
      </c>
      <c r="V3" s="168" t="s">
        <v>278</v>
      </c>
      <c r="W3" s="223" t="s">
        <v>351</v>
      </c>
      <c r="X3" s="9" t="s">
        <v>183</v>
      </c>
      <c r="Y3" s="222" t="s">
        <v>350</v>
      </c>
    </row>
    <row r="4" spans="1:25" s="240" customFormat="1" hidden="1" outlineLevel="1" x14ac:dyDescent="0.4">
      <c r="A4" s="228">
        <v>1</v>
      </c>
      <c r="B4" s="229" t="s">
        <v>90</v>
      </c>
      <c r="C4" s="230">
        <v>10085</v>
      </c>
      <c r="D4" s="229">
        <v>4591</v>
      </c>
      <c r="E4" s="229"/>
      <c r="F4" s="229" t="s">
        <v>28</v>
      </c>
      <c r="G4" s="231" t="str">
        <f>VLOOKUP(F4,lookup!B:C,2,FALSE)</f>
        <v>Peabody</v>
      </c>
      <c r="H4" s="229" t="s">
        <v>354</v>
      </c>
      <c r="I4" s="229" t="s">
        <v>108</v>
      </c>
      <c r="J4" s="229" t="s">
        <v>323</v>
      </c>
      <c r="K4" s="229" t="s">
        <v>156</v>
      </c>
      <c r="L4" s="232">
        <v>17500</v>
      </c>
      <c r="M4" s="233">
        <v>22000</v>
      </c>
      <c r="N4" s="233">
        <v>17500</v>
      </c>
      <c r="O4" s="233">
        <v>17500</v>
      </c>
      <c r="P4" s="233">
        <v>17500</v>
      </c>
      <c r="Q4" s="232">
        <v>0</v>
      </c>
      <c r="R4" s="234">
        <f>'10085'!H18</f>
        <v>17500</v>
      </c>
      <c r="S4" s="235">
        <v>0</v>
      </c>
      <c r="T4" s="235">
        <v>0</v>
      </c>
      <c r="U4" s="236">
        <f>SUM(S4:T4)</f>
        <v>0</v>
      </c>
      <c r="V4" s="237">
        <v>0</v>
      </c>
      <c r="W4" s="238">
        <v>0</v>
      </c>
      <c r="X4" s="239" t="s">
        <v>270</v>
      </c>
      <c r="Y4" s="249">
        <f>VLOOKUP(C4,'Summary_by FY'!$C$1:$C$1000,1,FALSE)</f>
        <v>10085</v>
      </c>
    </row>
    <row r="5" spans="1:25" s="240" customFormat="1" hidden="1" outlineLevel="1" x14ac:dyDescent="0.4">
      <c r="A5" s="228">
        <f>A4+1</f>
        <v>2</v>
      </c>
      <c r="B5" s="229" t="s">
        <v>89</v>
      </c>
      <c r="C5" s="230">
        <v>10098</v>
      </c>
      <c r="D5" s="229">
        <v>1627</v>
      </c>
      <c r="E5" s="229" t="s">
        <v>110</v>
      </c>
      <c r="F5" s="229" t="s">
        <v>21</v>
      </c>
      <c r="G5" s="231" t="str">
        <f>VLOOKUP(F5,lookup!B:C,2,FALSE)</f>
        <v>SOM Basic Sciences</v>
      </c>
      <c r="H5" s="229" t="s">
        <v>147</v>
      </c>
      <c r="I5" s="229" t="s">
        <v>299</v>
      </c>
      <c r="J5" s="229" t="s">
        <v>269</v>
      </c>
      <c r="K5" s="229" t="s">
        <v>151</v>
      </c>
      <c r="L5" s="232">
        <v>1216485.5</v>
      </c>
      <c r="M5" s="233">
        <v>1216485.5</v>
      </c>
      <c r="N5" s="233">
        <v>1212084.54</v>
      </c>
      <c r="O5" s="233">
        <v>1212084.54</v>
      </c>
      <c r="P5" s="233">
        <v>1212084.54</v>
      </c>
      <c r="Q5" s="232">
        <v>0</v>
      </c>
      <c r="R5" s="234">
        <f>'10098'!H9</f>
        <v>1216485.5</v>
      </c>
      <c r="S5" s="235">
        <f>'10098'!H10</f>
        <v>-4400.96</v>
      </c>
      <c r="T5" s="235">
        <v>0</v>
      </c>
      <c r="U5" s="236">
        <f t="shared" ref="U5" si="0">SUM(S5:T5)</f>
        <v>-4400.96</v>
      </c>
      <c r="V5" s="237">
        <v>0</v>
      </c>
      <c r="W5" s="238">
        <v>0</v>
      </c>
      <c r="X5" s="239" t="s">
        <v>333</v>
      </c>
      <c r="Y5" s="249">
        <f>VLOOKUP(C5,'Summary_by FY'!$C$1:$C$1000,1,FALSE)</f>
        <v>10098</v>
      </c>
    </row>
    <row r="6" spans="1:25" s="100" customFormat="1" collapsed="1" x14ac:dyDescent="0.4">
      <c r="A6" s="103">
        <f t="shared" ref="A6:A39" si="1">A5+1</f>
        <v>3</v>
      </c>
      <c r="B6" s="101" t="s">
        <v>89</v>
      </c>
      <c r="C6" s="205">
        <v>10146</v>
      </c>
      <c r="D6" s="101">
        <v>4418</v>
      </c>
      <c r="E6" s="101" t="s">
        <v>176</v>
      </c>
      <c r="F6" s="101" t="s">
        <v>177</v>
      </c>
      <c r="G6" s="102" t="str">
        <f>VLOOKUP(F6,lookup!B:C,2,FALSE)</f>
        <v>Nursing</v>
      </c>
      <c r="H6" s="101" t="s">
        <v>358</v>
      </c>
      <c r="I6" s="101" t="s">
        <v>280</v>
      </c>
      <c r="J6" s="101" t="s">
        <v>178</v>
      </c>
      <c r="K6" s="101" t="s">
        <v>156</v>
      </c>
      <c r="L6" s="116">
        <v>318000</v>
      </c>
      <c r="M6" s="117">
        <v>318057</v>
      </c>
      <c r="N6" s="117">
        <v>228355.7</v>
      </c>
      <c r="O6" s="117">
        <v>228355.7</v>
      </c>
      <c r="P6" s="117">
        <v>64975</v>
      </c>
      <c r="Q6" s="116"/>
      <c r="R6" s="118">
        <f>'10146'!H9</f>
        <v>4900</v>
      </c>
      <c r="S6" s="124">
        <f>'10146'!H15</f>
        <v>255957</v>
      </c>
      <c r="T6" s="124">
        <v>0</v>
      </c>
      <c r="U6" s="200">
        <f>SUM(S6:T6)</f>
        <v>255957</v>
      </c>
      <c r="V6" s="169">
        <v>0</v>
      </c>
      <c r="W6" s="224">
        <v>0</v>
      </c>
      <c r="X6" t="s">
        <v>415</v>
      </c>
      <c r="Y6" s="248">
        <f>VLOOKUP(C6,'Summary_by FY'!$C$1:$C$1000,1,FALSE)</f>
        <v>10146</v>
      </c>
    </row>
    <row r="7" spans="1:25" s="100" customFormat="1" x14ac:dyDescent="0.4">
      <c r="A7" s="103">
        <f t="shared" si="1"/>
        <v>4</v>
      </c>
      <c r="B7" s="101" t="s">
        <v>89</v>
      </c>
      <c r="C7" s="205">
        <v>20179</v>
      </c>
      <c r="D7" s="101">
        <v>36015</v>
      </c>
      <c r="E7" s="101" t="s">
        <v>104</v>
      </c>
      <c r="F7" s="101" t="s">
        <v>154</v>
      </c>
      <c r="G7" s="102" t="str">
        <f>VLOOKUP(F7,lookup!B:C,2,FALSE)</f>
        <v>Law</v>
      </c>
      <c r="H7" s="101" t="s">
        <v>282</v>
      </c>
      <c r="I7" s="101" t="s">
        <v>281</v>
      </c>
      <c r="J7" s="101" t="s">
        <v>300</v>
      </c>
      <c r="K7" s="101" t="s">
        <v>155</v>
      </c>
      <c r="L7" s="116">
        <v>1445389</v>
      </c>
      <c r="M7" s="117">
        <v>1445389</v>
      </c>
      <c r="N7" s="117">
        <v>1352423.14</v>
      </c>
      <c r="O7" s="117">
        <v>1352423.14</v>
      </c>
      <c r="P7" s="117">
        <v>1352423.14</v>
      </c>
      <c r="Q7" s="209">
        <v>92965.86</v>
      </c>
      <c r="R7" s="118">
        <f>'20179'!H9</f>
        <v>722694.5</v>
      </c>
      <c r="S7" s="124">
        <v>0</v>
      </c>
      <c r="T7" s="124">
        <v>0</v>
      </c>
      <c r="U7" s="200">
        <f t="shared" ref="U7:U51" si="2">SUM(S7:T7)</f>
        <v>0</v>
      </c>
      <c r="V7" s="169">
        <v>0</v>
      </c>
      <c r="W7" s="224">
        <v>0</v>
      </c>
      <c r="X7" t="s">
        <v>416</v>
      </c>
      <c r="Y7" s="248">
        <f>VLOOKUP(C7,'Summary_by FY'!$C$1:$C$1000,1,FALSE)</f>
        <v>20179</v>
      </c>
    </row>
    <row r="8" spans="1:25" s="100" customFormat="1" x14ac:dyDescent="0.4">
      <c r="A8" s="103">
        <f t="shared" si="1"/>
        <v>5</v>
      </c>
      <c r="B8" s="101" t="s">
        <v>89</v>
      </c>
      <c r="C8" s="205">
        <v>20336</v>
      </c>
      <c r="D8" s="101">
        <v>20075</v>
      </c>
      <c r="E8" s="101" t="s">
        <v>102</v>
      </c>
      <c r="F8" s="101" t="s">
        <v>12</v>
      </c>
      <c r="G8" s="102" t="str">
        <f>VLOOKUP(F8,lookup!B:C,2,FALSE)</f>
        <v>Blair</v>
      </c>
      <c r="H8" s="101" t="s">
        <v>150</v>
      </c>
      <c r="I8" s="101" t="s">
        <v>187</v>
      </c>
      <c r="J8" s="101" t="s">
        <v>269</v>
      </c>
      <c r="K8" s="101" t="s">
        <v>149</v>
      </c>
      <c r="L8" s="116">
        <v>327890</v>
      </c>
      <c r="M8" s="117">
        <v>327890</v>
      </c>
      <c r="N8" s="117">
        <v>280600</v>
      </c>
      <c r="O8" s="117">
        <v>280600</v>
      </c>
      <c r="P8" s="117">
        <v>280600</v>
      </c>
      <c r="Q8" s="209">
        <v>47290</v>
      </c>
      <c r="R8" s="118">
        <f>'20336'!H18</f>
        <v>327890</v>
      </c>
      <c r="S8" s="124">
        <v>0</v>
      </c>
      <c r="T8" s="124">
        <v>0</v>
      </c>
      <c r="U8" s="200">
        <f t="shared" si="2"/>
        <v>0</v>
      </c>
      <c r="V8" s="169">
        <v>0</v>
      </c>
      <c r="W8" s="224">
        <v>0</v>
      </c>
      <c r="X8" t="s">
        <v>389</v>
      </c>
      <c r="Y8" s="248">
        <f>VLOOKUP(C8,'Summary_by FY'!$C$1:$C$1000,1,FALSE)</f>
        <v>20336</v>
      </c>
    </row>
    <row r="9" spans="1:25" s="100" customFormat="1" x14ac:dyDescent="0.4">
      <c r="A9" s="103">
        <f t="shared" si="1"/>
        <v>6</v>
      </c>
      <c r="B9" s="101" t="s">
        <v>89</v>
      </c>
      <c r="C9" s="205">
        <v>20431</v>
      </c>
      <c r="D9" s="101">
        <v>8084</v>
      </c>
      <c r="E9" s="101" t="s">
        <v>103</v>
      </c>
      <c r="F9" s="101" t="s">
        <v>14</v>
      </c>
      <c r="G9" s="102" t="str">
        <f>VLOOKUP(F9,lookup!B:C,2,FALSE)</f>
        <v>Divinity</v>
      </c>
      <c r="H9" s="101" t="s">
        <v>152</v>
      </c>
      <c r="I9" s="101" t="s">
        <v>359</v>
      </c>
      <c r="J9" s="101" t="s">
        <v>101</v>
      </c>
      <c r="K9" s="101" t="s">
        <v>151</v>
      </c>
      <c r="L9" s="116">
        <v>3800000</v>
      </c>
      <c r="M9" s="117">
        <v>3800000</v>
      </c>
      <c r="N9" s="117">
        <v>3540067.72</v>
      </c>
      <c r="O9" s="117">
        <v>3540067.72</v>
      </c>
      <c r="P9" s="117">
        <v>175388.15</v>
      </c>
      <c r="Q9" s="116"/>
      <c r="R9" s="118">
        <f>'20431'!H10+'20431'!H11+'20431'!H13</f>
        <v>69862.5</v>
      </c>
      <c r="S9" s="124">
        <f>'20431'!H15</f>
        <v>3660360</v>
      </c>
      <c r="T9" s="124">
        <v>0</v>
      </c>
      <c r="U9" s="200">
        <f t="shared" si="2"/>
        <v>3660360</v>
      </c>
      <c r="V9" s="169">
        <v>0</v>
      </c>
      <c r="W9" s="224">
        <v>0</v>
      </c>
      <c r="X9" t="s">
        <v>417</v>
      </c>
      <c r="Y9" s="248">
        <f>VLOOKUP(C9,'Summary_by FY'!$C$1:$C$1000,1,FALSE)</f>
        <v>20431</v>
      </c>
    </row>
    <row r="10" spans="1:25" s="100" customFormat="1" x14ac:dyDescent="0.4">
      <c r="A10" s="103">
        <f t="shared" si="1"/>
        <v>7</v>
      </c>
      <c r="B10" s="101" t="s">
        <v>89</v>
      </c>
      <c r="C10" s="205">
        <v>20478</v>
      </c>
      <c r="D10" s="101">
        <v>8672</v>
      </c>
      <c r="E10" s="101" t="s">
        <v>235</v>
      </c>
      <c r="F10" s="101" t="s">
        <v>10</v>
      </c>
      <c r="G10" s="102" t="str">
        <f>VLOOKUP(F10,lookup!B:C,2,FALSE)</f>
        <v>Arts &amp; Science</v>
      </c>
      <c r="H10" s="101" t="s">
        <v>245</v>
      </c>
      <c r="I10" s="101" t="s">
        <v>236</v>
      </c>
      <c r="J10" s="101" t="s">
        <v>300</v>
      </c>
      <c r="K10" s="101" t="s">
        <v>237</v>
      </c>
      <c r="L10" s="116">
        <v>2790000</v>
      </c>
      <c r="M10" s="117">
        <v>2790000</v>
      </c>
      <c r="N10" s="117">
        <v>2467989.41</v>
      </c>
      <c r="O10" s="117">
        <v>2467989.41</v>
      </c>
      <c r="P10" s="117">
        <v>1185840.99</v>
      </c>
      <c r="Q10" s="209" t="s">
        <v>216</v>
      </c>
      <c r="R10" s="118">
        <f>'20478'!H9+'20478'!H11</f>
        <v>81100</v>
      </c>
      <c r="S10" s="124">
        <f>'20478'!H13</f>
        <v>1028900</v>
      </c>
      <c r="T10" s="124">
        <v>0</v>
      </c>
      <c r="U10" s="200">
        <f t="shared" si="2"/>
        <v>1028900</v>
      </c>
      <c r="V10" s="169">
        <v>0</v>
      </c>
      <c r="W10" s="224">
        <v>0</v>
      </c>
      <c r="X10" t="s">
        <v>418</v>
      </c>
      <c r="Y10" s="248">
        <f>VLOOKUP(C10,'Summary_by FY'!$C$1:$C$1000,1,FALSE)</f>
        <v>20478</v>
      </c>
    </row>
    <row r="11" spans="1:25" s="100" customFormat="1" x14ac:dyDescent="0.4">
      <c r="A11" s="103">
        <f t="shared" si="1"/>
        <v>8</v>
      </c>
      <c r="B11" s="101" t="s">
        <v>89</v>
      </c>
      <c r="C11" s="205">
        <v>20489</v>
      </c>
      <c r="D11" s="101">
        <v>8051</v>
      </c>
      <c r="E11" s="101" t="s">
        <v>238</v>
      </c>
      <c r="F11" s="101" t="s">
        <v>14</v>
      </c>
      <c r="G11" s="102" t="str">
        <f>VLOOKUP(F11,lookup!B:C,2,FALSE)</f>
        <v>Divinity</v>
      </c>
      <c r="H11" s="101" t="s">
        <v>152</v>
      </c>
      <c r="I11" s="101" t="s">
        <v>360</v>
      </c>
      <c r="J11" s="101" t="s">
        <v>267</v>
      </c>
      <c r="K11" s="101" t="s">
        <v>151</v>
      </c>
      <c r="L11" s="116">
        <v>4650000</v>
      </c>
      <c r="M11" s="117">
        <v>26500</v>
      </c>
      <c r="N11" s="117">
        <v>15895</v>
      </c>
      <c r="O11" s="117">
        <v>15895</v>
      </c>
      <c r="P11" s="117">
        <v>14407.5</v>
      </c>
      <c r="Q11" s="116"/>
      <c r="R11" s="118">
        <f>'20489'!H9</f>
        <v>26500</v>
      </c>
      <c r="S11" s="124">
        <v>0</v>
      </c>
      <c r="T11" s="124">
        <v>0</v>
      </c>
      <c r="U11" s="200">
        <f t="shared" si="2"/>
        <v>0</v>
      </c>
      <c r="V11" s="169">
        <v>0</v>
      </c>
      <c r="W11" s="224">
        <f>4700000-1530000</f>
        <v>3170000</v>
      </c>
      <c r="X11" t="s">
        <v>364</v>
      </c>
      <c r="Y11" s="248">
        <f>VLOOKUP(C11,'Summary_by FY'!$C$1:$C$1000,1,FALSE)</f>
        <v>20489</v>
      </c>
    </row>
    <row r="12" spans="1:25" s="240" customFormat="1" hidden="1" outlineLevel="1" x14ac:dyDescent="0.4">
      <c r="A12" s="228">
        <f t="shared" si="1"/>
        <v>9</v>
      </c>
      <c r="B12" s="229" t="s">
        <v>89</v>
      </c>
      <c r="C12" s="230">
        <v>20497</v>
      </c>
      <c r="D12" s="229">
        <v>529</v>
      </c>
      <c r="E12" s="229" t="s">
        <v>106</v>
      </c>
      <c r="F12" s="229" t="s">
        <v>28</v>
      </c>
      <c r="G12" s="231" t="str">
        <f>VLOOKUP(F12,lookup!B:C,2,FALSE)</f>
        <v>Peabody</v>
      </c>
      <c r="H12" s="229" t="s">
        <v>153</v>
      </c>
      <c r="I12" s="229" t="s">
        <v>105</v>
      </c>
      <c r="J12" s="229" t="s">
        <v>323</v>
      </c>
      <c r="K12" s="229" t="s">
        <v>149</v>
      </c>
      <c r="L12" s="232">
        <v>456850</v>
      </c>
      <c r="M12" s="233">
        <v>456850</v>
      </c>
      <c r="N12" s="233">
        <v>412000</v>
      </c>
      <c r="O12" s="233">
        <v>412000</v>
      </c>
      <c r="P12" s="233">
        <v>412000</v>
      </c>
      <c r="Q12" s="232"/>
      <c r="R12" s="234">
        <f>'20497'!H9</f>
        <v>79415.5</v>
      </c>
      <c r="S12" s="235">
        <f>'20497'!H11</f>
        <v>-44850</v>
      </c>
      <c r="T12" s="235">
        <v>0</v>
      </c>
      <c r="U12" s="200">
        <f t="shared" si="2"/>
        <v>-44850</v>
      </c>
      <c r="V12" s="237">
        <v>0</v>
      </c>
      <c r="W12" s="238">
        <v>0</v>
      </c>
      <c r="X12" s="239" t="s">
        <v>343</v>
      </c>
      <c r="Y12" s="249">
        <f>VLOOKUP(C12,'Summary_by FY'!$C$1:$C$1000,1,FALSE)</f>
        <v>20497</v>
      </c>
    </row>
    <row r="13" spans="1:25" s="240" customFormat="1" hidden="1" outlineLevel="1" x14ac:dyDescent="0.4">
      <c r="A13" s="228">
        <f t="shared" si="1"/>
        <v>10</v>
      </c>
      <c r="B13" s="229" t="s">
        <v>89</v>
      </c>
      <c r="C13" s="230">
        <v>20506</v>
      </c>
      <c r="D13" s="229">
        <v>1170</v>
      </c>
      <c r="E13" s="229" t="s">
        <v>260</v>
      </c>
      <c r="F13" s="229" t="s">
        <v>28</v>
      </c>
      <c r="G13" s="231" t="str">
        <f>VLOOKUP(F13,lookup!B:C,2,FALSE)</f>
        <v>Peabody</v>
      </c>
      <c r="H13" s="229" t="s">
        <v>160</v>
      </c>
      <c r="I13" s="229" t="s">
        <v>242</v>
      </c>
      <c r="J13" s="229" t="s">
        <v>323</v>
      </c>
      <c r="K13" s="229" t="s">
        <v>149</v>
      </c>
      <c r="L13" s="232">
        <v>344155.26</v>
      </c>
      <c r="M13" s="233">
        <v>344155.26</v>
      </c>
      <c r="N13" s="233">
        <v>307776.26</v>
      </c>
      <c r="O13" s="233">
        <v>307776.26</v>
      </c>
      <c r="P13" s="233">
        <v>307776.26</v>
      </c>
      <c r="Q13" s="232"/>
      <c r="R13" s="234">
        <f>'20506'!H9</f>
        <v>344155.26</v>
      </c>
      <c r="S13" s="235">
        <f>'20506'!H10</f>
        <v>-36379</v>
      </c>
      <c r="T13" s="235">
        <v>0</v>
      </c>
      <c r="U13" s="200">
        <f t="shared" si="2"/>
        <v>-36379</v>
      </c>
      <c r="V13" s="237">
        <v>0</v>
      </c>
      <c r="W13" s="238">
        <v>0</v>
      </c>
      <c r="X13" s="239" t="s">
        <v>343</v>
      </c>
      <c r="Y13" s="249">
        <f>VLOOKUP(C13,'Summary_by FY'!$C$1:$C$1000,1,FALSE)</f>
        <v>20506</v>
      </c>
    </row>
    <row r="14" spans="1:25" s="100" customFormat="1" collapsed="1" x14ac:dyDescent="0.4">
      <c r="A14" s="103">
        <f t="shared" si="1"/>
        <v>11</v>
      </c>
      <c r="B14" s="101" t="s">
        <v>89</v>
      </c>
      <c r="C14" s="205">
        <v>20562</v>
      </c>
      <c r="D14" s="101">
        <v>4564</v>
      </c>
      <c r="E14" s="101" t="s">
        <v>228</v>
      </c>
      <c r="F14" s="101" t="s">
        <v>28</v>
      </c>
      <c r="G14" s="102" t="str">
        <f>VLOOKUP(F14,lookup!B:C,2,FALSE)</f>
        <v>Peabody</v>
      </c>
      <c r="H14" s="101" t="s">
        <v>160</v>
      </c>
      <c r="I14" s="101" t="s">
        <v>107</v>
      </c>
      <c r="J14" s="101" t="s">
        <v>269</v>
      </c>
      <c r="K14" s="101" t="s">
        <v>156</v>
      </c>
      <c r="L14" s="116">
        <v>400000</v>
      </c>
      <c r="M14" s="117">
        <v>405791</v>
      </c>
      <c r="N14" s="117">
        <v>362559.64</v>
      </c>
      <c r="O14" s="117">
        <v>362559.64</v>
      </c>
      <c r="P14" s="117">
        <v>362559.64</v>
      </c>
      <c r="Q14" s="209">
        <v>43231.26</v>
      </c>
      <c r="R14" s="118">
        <f>'20562'!H9</f>
        <v>405791</v>
      </c>
      <c r="S14" s="124">
        <v>0</v>
      </c>
      <c r="T14" s="124">
        <v>0</v>
      </c>
      <c r="U14" s="200">
        <f t="shared" si="2"/>
        <v>0</v>
      </c>
      <c r="V14" s="169">
        <v>0</v>
      </c>
      <c r="W14" s="224">
        <v>0</v>
      </c>
      <c r="X14" t="s">
        <v>390</v>
      </c>
      <c r="Y14" s="248">
        <f>VLOOKUP(C14,'Summary_by FY'!$C$1:$C$1000,1,FALSE)</f>
        <v>20562</v>
      </c>
    </row>
    <row r="15" spans="1:25" s="100" customFormat="1" x14ac:dyDescent="0.4">
      <c r="A15" s="103">
        <f t="shared" si="1"/>
        <v>12</v>
      </c>
      <c r="B15" s="101" t="s">
        <v>216</v>
      </c>
      <c r="C15" s="101">
        <v>20563</v>
      </c>
      <c r="D15" s="101">
        <v>4624</v>
      </c>
      <c r="E15" s="101"/>
      <c r="F15" s="101" t="s">
        <v>15</v>
      </c>
      <c r="G15" s="102" t="str">
        <f>VLOOKUP(F15,lookup!B:C,2,FALSE)</f>
        <v>Engineering</v>
      </c>
      <c r="H15" s="101" t="s">
        <v>161</v>
      </c>
      <c r="I15" s="101" t="s">
        <v>274</v>
      </c>
      <c r="J15" s="101" t="s">
        <v>267</v>
      </c>
      <c r="K15" s="101" t="s">
        <v>149</v>
      </c>
      <c r="L15" s="116">
        <v>386000</v>
      </c>
      <c r="M15" s="117">
        <v>0</v>
      </c>
      <c r="N15" s="117">
        <v>0</v>
      </c>
      <c r="O15" s="117">
        <v>0</v>
      </c>
      <c r="P15" s="117">
        <v>0</v>
      </c>
      <c r="Q15" s="116"/>
      <c r="R15" s="118">
        <v>0</v>
      </c>
      <c r="S15" s="124">
        <v>0</v>
      </c>
      <c r="T15" s="124">
        <v>0</v>
      </c>
      <c r="U15" s="200">
        <f t="shared" si="2"/>
        <v>0</v>
      </c>
      <c r="V15" s="169">
        <v>0</v>
      </c>
      <c r="W15" s="224" t="s">
        <v>216</v>
      </c>
      <c r="X15" t="s">
        <v>275</v>
      </c>
      <c r="Y15" s="248">
        <f>VLOOKUP(C15,'Summary_by FY'!$C$1:$C$1000,1,FALSE)</f>
        <v>20563</v>
      </c>
    </row>
    <row r="16" spans="1:25" s="240" customFormat="1" hidden="1" outlineLevel="1" x14ac:dyDescent="0.4">
      <c r="A16" s="228">
        <f t="shared" si="1"/>
        <v>13</v>
      </c>
      <c r="B16" s="229" t="s">
        <v>89</v>
      </c>
      <c r="C16" s="230">
        <v>20566</v>
      </c>
      <c r="D16" s="229">
        <v>20054</v>
      </c>
      <c r="E16" s="229" t="s">
        <v>158</v>
      </c>
      <c r="F16" s="229" t="s">
        <v>10</v>
      </c>
      <c r="G16" s="231" t="str">
        <f>VLOOKUP(F16,lookup!B:C,2,FALSE)</f>
        <v>Arts &amp; Science</v>
      </c>
      <c r="H16" s="229" t="s">
        <v>159</v>
      </c>
      <c r="I16" s="229" t="s">
        <v>184</v>
      </c>
      <c r="J16" s="229" t="s">
        <v>269</v>
      </c>
      <c r="K16" s="229" t="s">
        <v>149</v>
      </c>
      <c r="L16" s="232">
        <v>781870</v>
      </c>
      <c r="M16" s="233">
        <v>781870</v>
      </c>
      <c r="N16" s="233">
        <v>722586.68</v>
      </c>
      <c r="O16" s="233">
        <v>722586.68</v>
      </c>
      <c r="P16" s="233">
        <v>722586.68</v>
      </c>
      <c r="Q16" s="232"/>
      <c r="R16" s="234">
        <f>'20566'!H9+'20566'!H10</f>
        <v>781870</v>
      </c>
      <c r="S16" s="235">
        <f>'20566'!H11</f>
        <v>-59283.32</v>
      </c>
      <c r="T16" s="235">
        <v>0</v>
      </c>
      <c r="U16" s="236">
        <f t="shared" si="2"/>
        <v>-59283.32</v>
      </c>
      <c r="V16" s="237">
        <v>0</v>
      </c>
      <c r="W16" s="238">
        <v>0</v>
      </c>
      <c r="X16" s="239" t="s">
        <v>373</v>
      </c>
      <c r="Y16" s="249">
        <f>VLOOKUP(C16,'Summary_by FY'!$C$1:$C$1000,1,FALSE)</f>
        <v>20566</v>
      </c>
    </row>
    <row r="17" spans="1:25" s="100" customFormat="1" collapsed="1" x14ac:dyDescent="0.4">
      <c r="A17" s="103">
        <f t="shared" si="1"/>
        <v>14</v>
      </c>
      <c r="B17" s="101" t="s">
        <v>89</v>
      </c>
      <c r="C17" s="205">
        <v>20573</v>
      </c>
      <c r="D17" s="101">
        <v>8047</v>
      </c>
      <c r="E17" s="101" t="s">
        <v>239</v>
      </c>
      <c r="F17" s="101" t="s">
        <v>28</v>
      </c>
      <c r="G17" s="102" t="str">
        <f>VLOOKUP(F17,lookup!B:C,2,FALSE)</f>
        <v>Peabody</v>
      </c>
      <c r="H17" s="101" t="s">
        <v>160</v>
      </c>
      <c r="I17" s="101" t="s">
        <v>185</v>
      </c>
      <c r="J17" s="101" t="s">
        <v>269</v>
      </c>
      <c r="K17" s="101" t="s">
        <v>149</v>
      </c>
      <c r="L17" s="116">
        <v>1232681</v>
      </c>
      <c r="M17" s="117">
        <v>1232681</v>
      </c>
      <c r="N17" s="117">
        <v>1113460</v>
      </c>
      <c r="O17" s="117">
        <v>1113460</v>
      </c>
      <c r="P17" s="117">
        <v>1113460</v>
      </c>
      <c r="Q17" s="209">
        <v>119221</v>
      </c>
      <c r="R17" s="118">
        <f>'20573'!H18</f>
        <v>1232681</v>
      </c>
      <c r="S17" s="124">
        <v>0</v>
      </c>
      <c r="T17" s="124">
        <v>0</v>
      </c>
      <c r="U17" s="200">
        <f t="shared" si="2"/>
        <v>0</v>
      </c>
      <c r="V17" s="169">
        <v>0</v>
      </c>
      <c r="W17" s="224">
        <v>0</v>
      </c>
      <c r="X17" t="s">
        <v>391</v>
      </c>
      <c r="Y17" s="248">
        <f>VLOOKUP(C17,'Summary_by FY'!$C$1:$C$1000,1,FALSE)</f>
        <v>20573</v>
      </c>
    </row>
    <row r="18" spans="1:25" s="100" customFormat="1" x14ac:dyDescent="0.4">
      <c r="A18" s="103">
        <f t="shared" si="1"/>
        <v>15</v>
      </c>
      <c r="B18" s="101" t="s">
        <v>89</v>
      </c>
      <c r="C18" s="205">
        <v>20574</v>
      </c>
      <c r="D18" s="101">
        <v>8145</v>
      </c>
      <c r="E18" s="101" t="s">
        <v>217</v>
      </c>
      <c r="F18" s="101" t="s">
        <v>21</v>
      </c>
      <c r="G18" s="102" t="str">
        <f>VLOOKUP(F18,lookup!B:C,2,FALSE)</f>
        <v>SOM Basic Sciences</v>
      </c>
      <c r="H18" s="101" t="s">
        <v>147</v>
      </c>
      <c r="I18" s="101" t="s">
        <v>186</v>
      </c>
      <c r="J18" s="101" t="s">
        <v>269</v>
      </c>
      <c r="K18" s="101" t="s">
        <v>156</v>
      </c>
      <c r="L18" s="116">
        <v>218202</v>
      </c>
      <c r="M18" s="117">
        <v>218202</v>
      </c>
      <c r="N18" s="117">
        <v>195665</v>
      </c>
      <c r="O18" s="117">
        <v>195665</v>
      </c>
      <c r="P18" s="117">
        <v>195665</v>
      </c>
      <c r="Q18" s="209">
        <v>22537</v>
      </c>
      <c r="R18" s="118">
        <f>'20574'!H18</f>
        <v>218202</v>
      </c>
      <c r="S18" s="124">
        <v>0</v>
      </c>
      <c r="T18" s="124">
        <v>0</v>
      </c>
      <c r="U18" s="200">
        <f t="shared" si="2"/>
        <v>0</v>
      </c>
      <c r="V18" s="169">
        <v>0</v>
      </c>
      <c r="W18" s="224">
        <v>0</v>
      </c>
      <c r="X18" t="s">
        <v>390</v>
      </c>
      <c r="Y18" s="248">
        <f>VLOOKUP(C18,'Summary_by FY'!$C$1:$C$1000,1,FALSE)</f>
        <v>20574</v>
      </c>
    </row>
    <row r="19" spans="1:25" s="100" customFormat="1" x14ac:dyDescent="0.4">
      <c r="A19" s="103">
        <f t="shared" si="1"/>
        <v>16</v>
      </c>
      <c r="B19" s="101" t="s">
        <v>89</v>
      </c>
      <c r="C19" s="205">
        <v>20577</v>
      </c>
      <c r="D19" s="101">
        <v>8146</v>
      </c>
      <c r="E19" s="101" t="s">
        <v>165</v>
      </c>
      <c r="F19" s="101" t="s">
        <v>12</v>
      </c>
      <c r="G19" s="102" t="str">
        <f>VLOOKUP(F19,lookup!B:C,2,FALSE)</f>
        <v>Blair</v>
      </c>
      <c r="H19" s="101" t="s">
        <v>150</v>
      </c>
      <c r="I19" s="101" t="s">
        <v>370</v>
      </c>
      <c r="J19" s="101" t="s">
        <v>224</v>
      </c>
      <c r="K19" s="101" t="s">
        <v>151</v>
      </c>
      <c r="L19" s="116">
        <v>1500000</v>
      </c>
      <c r="M19" s="117">
        <v>223000</v>
      </c>
      <c r="N19" s="117">
        <v>220566.21</v>
      </c>
      <c r="O19" s="117">
        <v>220566.21</v>
      </c>
      <c r="P19" s="117">
        <v>185191.21</v>
      </c>
      <c r="Q19" s="116"/>
      <c r="R19" s="118">
        <f>'20577'!H18</f>
        <v>223000</v>
      </c>
      <c r="S19" s="124">
        <v>0</v>
      </c>
      <c r="T19" s="124">
        <v>0</v>
      </c>
      <c r="U19" s="200">
        <f t="shared" si="2"/>
        <v>0</v>
      </c>
      <c r="V19" s="169">
        <v>1500000</v>
      </c>
      <c r="W19" s="224">
        <v>2510000</v>
      </c>
      <c r="X19" t="s">
        <v>419</v>
      </c>
      <c r="Y19" s="248">
        <f>VLOOKUP(C19,'Summary_by FY'!$C$1:$C$1000,1,FALSE)</f>
        <v>20577</v>
      </c>
    </row>
    <row r="20" spans="1:25" s="100" customFormat="1" x14ac:dyDescent="0.4">
      <c r="A20" s="103">
        <f t="shared" si="1"/>
        <v>17</v>
      </c>
      <c r="B20" s="101" t="s">
        <v>89</v>
      </c>
      <c r="C20" s="205">
        <v>20644</v>
      </c>
      <c r="D20" s="101">
        <v>8241</v>
      </c>
      <c r="E20" s="101" t="s">
        <v>220</v>
      </c>
      <c r="F20" s="101" t="s">
        <v>28</v>
      </c>
      <c r="G20" s="102" t="str">
        <f>VLOOKUP(F20,lookup!B:C,2,FALSE)</f>
        <v>Peabody</v>
      </c>
      <c r="H20" s="101" t="s">
        <v>157</v>
      </c>
      <c r="I20" s="101" t="s">
        <v>286</v>
      </c>
      <c r="J20" s="101" t="s">
        <v>269</v>
      </c>
      <c r="K20" s="101" t="s">
        <v>149</v>
      </c>
      <c r="L20" s="116">
        <v>630554</v>
      </c>
      <c r="M20" s="117">
        <v>630554</v>
      </c>
      <c r="N20" s="117">
        <v>571789</v>
      </c>
      <c r="O20" s="117">
        <v>571789</v>
      </c>
      <c r="P20" s="117">
        <v>571789</v>
      </c>
      <c r="Q20" s="209">
        <v>58765</v>
      </c>
      <c r="R20" s="118">
        <f>'20644'!H18</f>
        <v>630554</v>
      </c>
      <c r="S20" s="124">
        <v>0</v>
      </c>
      <c r="T20" s="124">
        <v>0</v>
      </c>
      <c r="U20" s="200">
        <f t="shared" si="2"/>
        <v>0</v>
      </c>
      <c r="V20" s="169">
        <v>0</v>
      </c>
      <c r="W20" s="224">
        <v>0</v>
      </c>
      <c r="X20" t="s">
        <v>363</v>
      </c>
      <c r="Y20" s="248">
        <f>VLOOKUP(C20,'Summary_by FY'!$C$1:$C$1000,1,FALSE)</f>
        <v>20644</v>
      </c>
    </row>
    <row r="21" spans="1:25" s="100" customFormat="1" x14ac:dyDescent="0.4">
      <c r="A21" s="103">
        <f t="shared" si="1"/>
        <v>18</v>
      </c>
      <c r="B21" s="101" t="s">
        <v>90</v>
      </c>
      <c r="C21" s="205">
        <v>20645</v>
      </c>
      <c r="D21" s="101">
        <v>8239</v>
      </c>
      <c r="E21" s="101"/>
      <c r="F21" s="101" t="s">
        <v>10</v>
      </c>
      <c r="G21" s="102" t="str">
        <f>VLOOKUP(F21,lookup!B:C,2,FALSE)</f>
        <v>Arts &amp; Science</v>
      </c>
      <c r="H21" s="101" t="s">
        <v>148</v>
      </c>
      <c r="I21" s="101" t="s">
        <v>111</v>
      </c>
      <c r="J21" s="101" t="s">
        <v>300</v>
      </c>
      <c r="K21" s="101" t="s">
        <v>149</v>
      </c>
      <c r="L21" s="116">
        <v>125875</v>
      </c>
      <c r="M21" s="117">
        <v>125875</v>
      </c>
      <c r="N21" s="117">
        <v>114350</v>
      </c>
      <c r="O21" s="117">
        <v>114350</v>
      </c>
      <c r="P21" s="117">
        <v>112250</v>
      </c>
      <c r="Q21" s="209">
        <v>11225</v>
      </c>
      <c r="R21" s="118">
        <f>'20645'!H18</f>
        <v>125875</v>
      </c>
      <c r="S21" s="124">
        <v>0</v>
      </c>
      <c r="T21" s="124">
        <v>0</v>
      </c>
      <c r="U21" s="200">
        <f t="shared" si="2"/>
        <v>0</v>
      </c>
      <c r="V21" s="169">
        <v>0</v>
      </c>
      <c r="W21" s="224">
        <v>0</v>
      </c>
      <c r="X21" t="s">
        <v>420</v>
      </c>
      <c r="Y21" s="248">
        <f>VLOOKUP(C21,'Summary_by FY'!$C$1:$C$1000,1,FALSE)</f>
        <v>20645</v>
      </c>
    </row>
    <row r="22" spans="1:25" s="100" customFormat="1" x14ac:dyDescent="0.4">
      <c r="A22" s="103">
        <f t="shared" si="1"/>
        <v>19</v>
      </c>
      <c r="B22" s="101" t="s">
        <v>89</v>
      </c>
      <c r="C22" s="205">
        <v>20667</v>
      </c>
      <c r="D22" s="101">
        <v>8168</v>
      </c>
      <c r="E22" s="101" t="s">
        <v>173</v>
      </c>
      <c r="F22" s="101" t="s">
        <v>15</v>
      </c>
      <c r="G22" s="102" t="str">
        <f>VLOOKUP(F22,lookup!B:C,2,FALSE)</f>
        <v>Engineering</v>
      </c>
      <c r="H22" s="101" t="s">
        <v>163</v>
      </c>
      <c r="I22" s="101" t="s">
        <v>164</v>
      </c>
      <c r="J22" s="101" t="s">
        <v>100</v>
      </c>
      <c r="K22" s="101" t="s">
        <v>156</v>
      </c>
      <c r="L22" s="116">
        <v>2000000</v>
      </c>
      <c r="M22" s="117">
        <v>146500</v>
      </c>
      <c r="N22" s="117">
        <v>146500</v>
      </c>
      <c r="O22" s="117">
        <v>146500</v>
      </c>
      <c r="P22" s="117">
        <v>34500</v>
      </c>
      <c r="Q22" s="116"/>
      <c r="R22" s="118">
        <f>'20667'!H18</f>
        <v>146500</v>
      </c>
      <c r="S22" s="124">
        <v>0</v>
      </c>
      <c r="T22" s="124">
        <v>2000000</v>
      </c>
      <c r="U22" s="200">
        <f t="shared" si="2"/>
        <v>2000000</v>
      </c>
      <c r="V22" s="169">
        <v>0</v>
      </c>
      <c r="W22" s="224">
        <v>0</v>
      </c>
      <c r="X22" t="s">
        <v>421</v>
      </c>
      <c r="Y22" s="248">
        <f>VLOOKUP(C22,'Summary_by FY'!$C$1:$C$1000,1,FALSE)</f>
        <v>20667</v>
      </c>
    </row>
    <row r="23" spans="1:25" s="100" customFormat="1" x14ac:dyDescent="0.4">
      <c r="A23" s="103">
        <f t="shared" si="1"/>
        <v>20</v>
      </c>
      <c r="B23" s="101" t="s">
        <v>89</v>
      </c>
      <c r="C23" s="205">
        <v>20668</v>
      </c>
      <c r="D23" s="101">
        <v>8151</v>
      </c>
      <c r="E23" s="101" t="s">
        <v>188</v>
      </c>
      <c r="F23" s="101" t="s">
        <v>15</v>
      </c>
      <c r="G23" s="102" t="str">
        <f>VLOOKUP(F23,lookup!B:C,2,FALSE)</f>
        <v>Engineering</v>
      </c>
      <c r="H23" s="101" t="s">
        <v>161</v>
      </c>
      <c r="I23" s="101" t="s">
        <v>162</v>
      </c>
      <c r="J23" s="101" t="s">
        <v>100</v>
      </c>
      <c r="K23" s="101" t="s">
        <v>156</v>
      </c>
      <c r="L23" s="116">
        <v>0</v>
      </c>
      <c r="M23" s="117">
        <v>231433</v>
      </c>
      <c r="N23" s="117">
        <v>231433</v>
      </c>
      <c r="O23" s="117">
        <v>231433</v>
      </c>
      <c r="P23" s="117">
        <v>89710</v>
      </c>
      <c r="Q23" s="116"/>
      <c r="R23" s="118">
        <f>'20668'!H9+'20668'!H10</f>
        <v>206500</v>
      </c>
      <c r="S23" s="124">
        <f>'20668'!H11</f>
        <v>24933</v>
      </c>
      <c r="T23" s="124">
        <v>0</v>
      </c>
      <c r="U23" s="200">
        <f t="shared" si="2"/>
        <v>24933</v>
      </c>
      <c r="V23" s="169" t="s">
        <v>216</v>
      </c>
      <c r="W23" s="224">
        <v>0</v>
      </c>
      <c r="X23" t="s">
        <v>422</v>
      </c>
      <c r="Y23" s="248">
        <f>VLOOKUP(C23,'Summary_by FY'!$C$1:$C$1000,1,FALSE)</f>
        <v>20668</v>
      </c>
    </row>
    <row r="24" spans="1:25" s="100" customFormat="1" x14ac:dyDescent="0.4">
      <c r="A24" s="103">
        <f t="shared" si="1"/>
        <v>21</v>
      </c>
      <c r="B24" s="101" t="s">
        <v>89</v>
      </c>
      <c r="C24" s="205">
        <v>20698</v>
      </c>
      <c r="D24" s="101">
        <v>1138</v>
      </c>
      <c r="E24" s="101" t="s">
        <v>213</v>
      </c>
      <c r="F24" s="101" t="s">
        <v>10</v>
      </c>
      <c r="G24" s="102" t="str">
        <f>VLOOKUP(F24,lookup!B:C,2,FALSE)</f>
        <v>Arts &amp; Science</v>
      </c>
      <c r="H24" s="101" t="s">
        <v>205</v>
      </c>
      <c r="I24" s="101" t="s">
        <v>218</v>
      </c>
      <c r="J24" s="101" t="s">
        <v>178</v>
      </c>
      <c r="K24" s="101" t="s">
        <v>156</v>
      </c>
      <c r="L24" s="116">
        <v>680000</v>
      </c>
      <c r="M24" s="117">
        <v>678513</v>
      </c>
      <c r="N24" s="117">
        <v>583771</v>
      </c>
      <c r="O24" s="117">
        <v>583771</v>
      </c>
      <c r="P24" s="117">
        <v>21207.5</v>
      </c>
      <c r="Q24" s="116"/>
      <c r="R24" s="118">
        <f>'20698'!H9+'20698'!H10+'20698'!H11</f>
        <v>29250</v>
      </c>
      <c r="S24" s="124">
        <f>'20698'!H12</f>
        <v>649263</v>
      </c>
      <c r="T24" s="124">
        <v>0</v>
      </c>
      <c r="U24" s="200">
        <f t="shared" si="2"/>
        <v>649263</v>
      </c>
      <c r="V24" s="169">
        <v>0</v>
      </c>
      <c r="W24" s="224">
        <v>0</v>
      </c>
      <c r="X24" s="226" t="s">
        <v>423</v>
      </c>
      <c r="Y24" s="248">
        <f>VLOOKUP(C24,'Summary_by FY'!$C$1:$C$1000,1,FALSE)</f>
        <v>20698</v>
      </c>
    </row>
    <row r="25" spans="1:25" s="240" customFormat="1" hidden="1" outlineLevel="1" x14ac:dyDescent="0.4">
      <c r="A25" s="228">
        <f t="shared" si="1"/>
        <v>22</v>
      </c>
      <c r="B25" s="229" t="s">
        <v>90</v>
      </c>
      <c r="C25" s="230">
        <v>20700</v>
      </c>
      <c r="D25" s="229">
        <v>851</v>
      </c>
      <c r="E25" s="229"/>
      <c r="F25" s="229" t="s">
        <v>10</v>
      </c>
      <c r="G25" s="231" t="str">
        <f>VLOOKUP(F25,lookup!B:C,2,FALSE)</f>
        <v>Arts &amp; Science</v>
      </c>
      <c r="H25" s="229" t="s">
        <v>159</v>
      </c>
      <c r="I25" s="229" t="s">
        <v>361</v>
      </c>
      <c r="J25" s="229" t="s">
        <v>269</v>
      </c>
      <c r="K25" s="229" t="s">
        <v>156</v>
      </c>
      <c r="L25" s="232">
        <v>80000</v>
      </c>
      <c r="M25" s="233">
        <v>85577</v>
      </c>
      <c r="N25" s="233">
        <v>85576.77</v>
      </c>
      <c r="O25" s="233">
        <v>85576.77</v>
      </c>
      <c r="P25" s="233">
        <v>85576.77</v>
      </c>
      <c r="Q25" s="232"/>
      <c r="R25" s="234">
        <f>'20700'!H9+'20700'!H10</f>
        <v>79623</v>
      </c>
      <c r="S25" s="235">
        <f>'20700'!H11</f>
        <v>5954</v>
      </c>
      <c r="T25" s="235">
        <v>0</v>
      </c>
      <c r="U25" s="236">
        <f t="shared" si="2"/>
        <v>5954</v>
      </c>
      <c r="V25" s="237">
        <v>0</v>
      </c>
      <c r="W25" s="238">
        <v>0</v>
      </c>
      <c r="X25" s="242" t="s">
        <v>374</v>
      </c>
      <c r="Y25" s="249">
        <f>VLOOKUP(C25,'Summary_by FY'!$C$1:$C$1000,1,FALSE)</f>
        <v>20700</v>
      </c>
    </row>
    <row r="26" spans="1:25" s="100" customFormat="1" collapsed="1" x14ac:dyDescent="0.4">
      <c r="A26" s="103">
        <f t="shared" si="1"/>
        <v>23</v>
      </c>
      <c r="B26" s="101" t="s">
        <v>89</v>
      </c>
      <c r="C26" s="205">
        <v>20701</v>
      </c>
      <c r="D26" s="101">
        <v>4399</v>
      </c>
      <c r="E26" s="101" t="s">
        <v>273</v>
      </c>
      <c r="F26" s="101" t="s">
        <v>10</v>
      </c>
      <c r="G26" s="102" t="str">
        <f>VLOOKUP(F26,lookup!B:C,2,FALSE)</f>
        <v>Arts &amp; Science</v>
      </c>
      <c r="H26" s="101" t="s">
        <v>206</v>
      </c>
      <c r="I26" s="101" t="s">
        <v>362</v>
      </c>
      <c r="J26" s="101" t="s">
        <v>100</v>
      </c>
      <c r="K26" s="101" t="s">
        <v>156</v>
      </c>
      <c r="L26" s="116">
        <v>500000</v>
      </c>
      <c r="M26" s="117">
        <v>499093</v>
      </c>
      <c r="N26" s="117">
        <v>18000</v>
      </c>
      <c r="O26" s="117">
        <v>18000</v>
      </c>
      <c r="P26" s="117">
        <v>9000</v>
      </c>
      <c r="Q26" s="116"/>
      <c r="R26" s="118">
        <f>'20701'!H18</f>
        <v>499093</v>
      </c>
      <c r="S26" s="124">
        <v>0</v>
      </c>
      <c r="T26" s="124">
        <v>0</v>
      </c>
      <c r="U26" s="200">
        <f t="shared" si="2"/>
        <v>0</v>
      </c>
      <c r="V26" s="169">
        <v>0</v>
      </c>
      <c r="W26" s="224">
        <v>0</v>
      </c>
      <c r="X26" s="227" t="s">
        <v>424</v>
      </c>
      <c r="Y26" s="248">
        <f>VLOOKUP(C26,'Summary_by FY'!$C$1:$C$1000,1,FALSE)</f>
        <v>20701</v>
      </c>
    </row>
    <row r="27" spans="1:25" s="240" customFormat="1" hidden="1" outlineLevel="1" x14ac:dyDescent="0.4">
      <c r="A27" s="228">
        <f t="shared" si="1"/>
        <v>24</v>
      </c>
      <c r="B27" s="229" t="s">
        <v>89</v>
      </c>
      <c r="C27" s="230">
        <v>20702</v>
      </c>
      <c r="D27" s="229">
        <v>8432</v>
      </c>
      <c r="E27" s="229" t="s">
        <v>210</v>
      </c>
      <c r="F27" s="229" t="s">
        <v>28</v>
      </c>
      <c r="G27" s="231" t="str">
        <f>VLOOKUP(F27,lookup!B:C,2,FALSE)</f>
        <v>Peabody</v>
      </c>
      <c r="H27" s="229" t="s">
        <v>160</v>
      </c>
      <c r="I27" s="229" t="s">
        <v>211</v>
      </c>
      <c r="J27" s="229" t="s">
        <v>269</v>
      </c>
      <c r="K27" s="229" t="s">
        <v>149</v>
      </c>
      <c r="L27" s="232">
        <v>225791</v>
      </c>
      <c r="M27" s="233">
        <v>239341</v>
      </c>
      <c r="N27" s="233">
        <v>209419</v>
      </c>
      <c r="O27" s="233">
        <v>209419</v>
      </c>
      <c r="P27" s="233">
        <v>209419</v>
      </c>
      <c r="Q27" s="232"/>
      <c r="R27" s="234">
        <f>'20702'!H9+'20702'!H10</f>
        <v>239341</v>
      </c>
      <c r="S27" s="235">
        <f>'20702'!H11</f>
        <v>-29922</v>
      </c>
      <c r="T27" s="235">
        <v>0</v>
      </c>
      <c r="U27" s="236">
        <f t="shared" si="2"/>
        <v>-29922</v>
      </c>
      <c r="V27" s="237">
        <v>0</v>
      </c>
      <c r="W27" s="238">
        <v>0</v>
      </c>
      <c r="X27" s="242" t="s">
        <v>392</v>
      </c>
      <c r="Y27" s="249">
        <f>VLOOKUP(C27,'Summary_by FY'!$C$1:$C$1000,1,FALSE)</f>
        <v>20702</v>
      </c>
    </row>
    <row r="28" spans="1:25" s="100" customFormat="1" collapsed="1" x14ac:dyDescent="0.4">
      <c r="A28" s="103">
        <f t="shared" si="1"/>
        <v>25</v>
      </c>
      <c r="B28" s="101" t="s">
        <v>89</v>
      </c>
      <c r="C28" s="205">
        <v>20718</v>
      </c>
      <c r="D28" s="101">
        <v>8608</v>
      </c>
      <c r="E28" s="101" t="s">
        <v>261</v>
      </c>
      <c r="F28" s="101" t="s">
        <v>10</v>
      </c>
      <c r="G28" s="102" t="str">
        <f>VLOOKUP(F28,lookup!B:C,2,FALSE)</f>
        <v>Arts &amp; Science</v>
      </c>
      <c r="H28" s="101" t="s">
        <v>262</v>
      </c>
      <c r="I28" s="101" t="s">
        <v>263</v>
      </c>
      <c r="J28" s="101" t="s">
        <v>269</v>
      </c>
      <c r="K28" s="101" t="s">
        <v>264</v>
      </c>
      <c r="L28" s="116">
        <v>715000</v>
      </c>
      <c r="M28" s="117">
        <v>715000</v>
      </c>
      <c r="N28" s="117">
        <v>651554.6</v>
      </c>
      <c r="O28" s="117">
        <v>651554.6</v>
      </c>
      <c r="P28" s="117">
        <v>651346.59</v>
      </c>
      <c r="Q28" s="209">
        <v>63445.4</v>
      </c>
      <c r="R28" s="118">
        <f>'20718'!H9</f>
        <v>96166</v>
      </c>
      <c r="S28" s="124">
        <v>0</v>
      </c>
      <c r="T28" s="124">
        <v>0</v>
      </c>
      <c r="U28" s="200">
        <f t="shared" si="2"/>
        <v>0</v>
      </c>
      <c r="V28" s="169">
        <v>0</v>
      </c>
      <c r="W28" s="224">
        <v>0</v>
      </c>
      <c r="X28" s="227" t="s">
        <v>425</v>
      </c>
      <c r="Y28" s="248">
        <f>VLOOKUP(C28,'Summary_by FY'!$C$1:$C$1000,1,FALSE)</f>
        <v>20718</v>
      </c>
    </row>
    <row r="29" spans="1:25" s="100" customFormat="1" x14ac:dyDescent="0.4">
      <c r="A29" s="103">
        <f t="shared" si="1"/>
        <v>26</v>
      </c>
      <c r="B29" s="101" t="s">
        <v>89</v>
      </c>
      <c r="C29" s="205">
        <v>20723</v>
      </c>
      <c r="D29" s="101">
        <v>1628</v>
      </c>
      <c r="E29" s="101" t="s">
        <v>253</v>
      </c>
      <c r="F29" s="101" t="s">
        <v>21</v>
      </c>
      <c r="G29" s="102" t="str">
        <f>VLOOKUP(F29,lookup!B:C,2,FALSE)</f>
        <v>SOM Basic Sciences</v>
      </c>
      <c r="H29" s="101" t="s">
        <v>147</v>
      </c>
      <c r="I29" s="101" t="s">
        <v>301</v>
      </c>
      <c r="J29" s="101" t="s">
        <v>178</v>
      </c>
      <c r="K29" s="101" t="s">
        <v>357</v>
      </c>
      <c r="L29" s="116">
        <v>1610000</v>
      </c>
      <c r="M29" s="117">
        <v>160500</v>
      </c>
      <c r="N29" s="117">
        <v>155232.51999999999</v>
      </c>
      <c r="O29" s="117">
        <v>155232.51999999999</v>
      </c>
      <c r="P29" s="117">
        <v>138595.01999999999</v>
      </c>
      <c r="Q29" s="116"/>
      <c r="R29" s="118">
        <f>'20723'!H18</f>
        <v>160500</v>
      </c>
      <c r="S29" s="124">
        <v>0</v>
      </c>
      <c r="T29" s="124">
        <v>0</v>
      </c>
      <c r="U29" s="200">
        <f t="shared" si="2"/>
        <v>0</v>
      </c>
      <c r="V29" s="169" t="s">
        <v>216</v>
      </c>
      <c r="W29" s="224">
        <v>0</v>
      </c>
      <c r="X29" s="227" t="s">
        <v>426</v>
      </c>
      <c r="Y29" s="248">
        <f>VLOOKUP(C29,'Summary_by FY'!$C$1:$C$1000,1,FALSE)</f>
        <v>20723</v>
      </c>
    </row>
    <row r="30" spans="1:25" s="100" customFormat="1" x14ac:dyDescent="0.4">
      <c r="A30" s="103">
        <f t="shared" si="1"/>
        <v>27</v>
      </c>
      <c r="B30" s="101" t="s">
        <v>89</v>
      </c>
      <c r="C30" s="205">
        <v>20724</v>
      </c>
      <c r="D30" s="101">
        <v>8557</v>
      </c>
      <c r="E30" s="101" t="s">
        <v>232</v>
      </c>
      <c r="F30" s="101" t="s">
        <v>12</v>
      </c>
      <c r="G30" s="102" t="str">
        <f>VLOOKUP(F30,lookup!B:C,2,FALSE)</f>
        <v>Blair</v>
      </c>
      <c r="H30" s="101" t="s">
        <v>150</v>
      </c>
      <c r="I30" s="101" t="s">
        <v>231</v>
      </c>
      <c r="J30" s="101" t="s">
        <v>101</v>
      </c>
      <c r="K30" s="101" t="s">
        <v>151</v>
      </c>
      <c r="L30" s="116">
        <v>1987500</v>
      </c>
      <c r="M30" s="117">
        <v>1987500</v>
      </c>
      <c r="N30" s="117">
        <v>1784625</v>
      </c>
      <c r="O30" s="117">
        <v>1784625</v>
      </c>
      <c r="P30" s="117">
        <v>216527.81</v>
      </c>
      <c r="Q30" s="116"/>
      <c r="R30" s="118">
        <f>'20724'!H9</f>
        <v>23400</v>
      </c>
      <c r="S30" s="124">
        <f>'20724'!H10</f>
        <v>1964100</v>
      </c>
      <c r="T30" s="124">
        <v>0</v>
      </c>
      <c r="U30" s="200">
        <f t="shared" si="2"/>
        <v>1964100</v>
      </c>
      <c r="V30" s="169">
        <v>0</v>
      </c>
      <c r="W30" s="224">
        <v>0</v>
      </c>
      <c r="X30" s="227" t="s">
        <v>427</v>
      </c>
      <c r="Y30" s="248">
        <f>VLOOKUP(C30,'Summary_by FY'!$C$1:$C$1000,1,FALSE)</f>
        <v>20724</v>
      </c>
    </row>
    <row r="31" spans="1:25" s="100" customFormat="1" x14ac:dyDescent="0.4">
      <c r="A31" s="103">
        <f t="shared" si="1"/>
        <v>28</v>
      </c>
      <c r="B31" s="101" t="s">
        <v>90</v>
      </c>
      <c r="C31" s="205">
        <v>20735</v>
      </c>
      <c r="D31" s="101">
        <v>8226</v>
      </c>
      <c r="E31" s="101"/>
      <c r="F31" s="101" t="s">
        <v>26</v>
      </c>
      <c r="G31" s="102" t="str">
        <f>VLOOKUP(F31,lookup!B:C,2,FALSE)</f>
        <v>Owen</v>
      </c>
      <c r="H31" s="101" t="s">
        <v>243</v>
      </c>
      <c r="I31" s="101" t="s">
        <v>259</v>
      </c>
      <c r="J31" s="101" t="s">
        <v>300</v>
      </c>
      <c r="K31" s="101" t="s">
        <v>149</v>
      </c>
      <c r="L31" s="116">
        <v>300000</v>
      </c>
      <c r="M31" s="117">
        <v>300000</v>
      </c>
      <c r="N31" s="117">
        <v>276500</v>
      </c>
      <c r="O31" s="117">
        <v>276500</v>
      </c>
      <c r="P31" s="117">
        <v>260350</v>
      </c>
      <c r="Q31" s="209">
        <v>23500</v>
      </c>
      <c r="R31" s="118">
        <f>'20735'!H18</f>
        <v>300000</v>
      </c>
      <c r="S31" s="124">
        <v>0</v>
      </c>
      <c r="T31" s="124">
        <v>0</v>
      </c>
      <c r="U31" s="200">
        <f t="shared" si="2"/>
        <v>0</v>
      </c>
      <c r="V31" s="169">
        <v>0</v>
      </c>
      <c r="W31" s="224">
        <v>0</v>
      </c>
      <c r="X31" s="227" t="s">
        <v>428</v>
      </c>
      <c r="Y31" s="248">
        <f>VLOOKUP(C31,'Summary_by FY'!$C$1:$C$1000,1,FALSE)</f>
        <v>20735</v>
      </c>
    </row>
    <row r="32" spans="1:25" s="100" customFormat="1" x14ac:dyDescent="0.4">
      <c r="A32" s="103">
        <f t="shared" si="1"/>
        <v>29</v>
      </c>
      <c r="B32" s="101" t="s">
        <v>90</v>
      </c>
      <c r="C32" s="101">
        <v>20767</v>
      </c>
      <c r="D32" s="101">
        <v>8673</v>
      </c>
      <c r="E32" s="101"/>
      <c r="F32" s="101" t="s">
        <v>28</v>
      </c>
      <c r="G32" s="102" t="str">
        <f>VLOOKUP(F32,lookup!B:C,2,FALSE)</f>
        <v>Peabody</v>
      </c>
      <c r="H32" s="101" t="s">
        <v>265</v>
      </c>
      <c r="I32" s="101" t="s">
        <v>266</v>
      </c>
      <c r="J32" s="101" t="s">
        <v>224</v>
      </c>
      <c r="K32" s="101" t="s">
        <v>332</v>
      </c>
      <c r="L32" s="116">
        <v>81000</v>
      </c>
      <c r="M32" s="117">
        <v>0</v>
      </c>
      <c r="N32" s="117">
        <v>0</v>
      </c>
      <c r="O32" s="117">
        <v>0</v>
      </c>
      <c r="P32" s="117">
        <v>0</v>
      </c>
      <c r="Q32" s="116"/>
      <c r="R32" s="118">
        <v>0</v>
      </c>
      <c r="S32" s="124">
        <v>0</v>
      </c>
      <c r="T32" s="124" t="s">
        <v>216</v>
      </c>
      <c r="U32" s="200">
        <f t="shared" si="2"/>
        <v>0</v>
      </c>
      <c r="V32" s="169" t="s">
        <v>216</v>
      </c>
      <c r="W32" s="224">
        <v>0</v>
      </c>
      <c r="X32" s="227" t="s">
        <v>429</v>
      </c>
      <c r="Y32" s="248">
        <f>VLOOKUP(C32,'Summary_by FY'!$C$1:$C$1000,1,FALSE)</f>
        <v>20767</v>
      </c>
    </row>
    <row r="33" spans="1:25" s="240" customFormat="1" hidden="1" outlineLevel="1" x14ac:dyDescent="0.4">
      <c r="A33" s="228">
        <f t="shared" si="1"/>
        <v>30</v>
      </c>
      <c r="B33" s="229" t="s">
        <v>90</v>
      </c>
      <c r="C33" s="241">
        <v>20771</v>
      </c>
      <c r="D33" s="229">
        <v>8674</v>
      </c>
      <c r="E33" s="229"/>
      <c r="F33" s="229" t="s">
        <v>10</v>
      </c>
      <c r="G33" s="231" t="str">
        <f>VLOOKUP(F33,lookup!B:C,2,FALSE)</f>
        <v>Arts &amp; Science</v>
      </c>
      <c r="H33" s="229" t="s">
        <v>159</v>
      </c>
      <c r="I33" s="229" t="s">
        <v>268</v>
      </c>
      <c r="J33" s="229" t="s">
        <v>323</v>
      </c>
      <c r="K33" s="229" t="s">
        <v>156</v>
      </c>
      <c r="L33" s="232">
        <v>25000</v>
      </c>
      <c r="M33" s="233">
        <v>24997</v>
      </c>
      <c r="N33" s="233">
        <v>17972</v>
      </c>
      <c r="O33" s="233">
        <v>17972</v>
      </c>
      <c r="P33" s="233">
        <v>17972</v>
      </c>
      <c r="Q33" s="232"/>
      <c r="R33" s="234">
        <f>'20771'!H9+'20771'!H10</f>
        <v>24997</v>
      </c>
      <c r="S33" s="235">
        <f>'20771'!H11</f>
        <v>-7025</v>
      </c>
      <c r="T33" s="235">
        <v>0</v>
      </c>
      <c r="U33" s="200">
        <f t="shared" si="2"/>
        <v>-7025</v>
      </c>
      <c r="V33" s="237">
        <v>0</v>
      </c>
      <c r="W33" s="238">
        <v>0</v>
      </c>
      <c r="X33" s="242" t="s">
        <v>324</v>
      </c>
      <c r="Y33" s="249">
        <f>VLOOKUP(C33,'Summary_by FY'!$C$1:$C$1000,1,FALSE)</f>
        <v>20771</v>
      </c>
    </row>
    <row r="34" spans="1:25" s="100" customFormat="1" collapsed="1" x14ac:dyDescent="0.4">
      <c r="A34" s="103">
        <f t="shared" si="1"/>
        <v>31</v>
      </c>
      <c r="B34" s="101" t="s">
        <v>89</v>
      </c>
      <c r="C34" s="101">
        <v>20772</v>
      </c>
      <c r="D34" s="101">
        <v>8675</v>
      </c>
      <c r="E34" s="101" t="s">
        <v>406</v>
      </c>
      <c r="F34" s="101" t="s">
        <v>26</v>
      </c>
      <c r="G34" s="102" t="str">
        <f>VLOOKUP(F34,lookup!B:C,2,FALSE)</f>
        <v>Owen</v>
      </c>
      <c r="H34" s="101" t="s">
        <v>243</v>
      </c>
      <c r="I34" s="101" t="s">
        <v>371</v>
      </c>
      <c r="J34" s="101" t="s">
        <v>178</v>
      </c>
      <c r="K34" s="101" t="s">
        <v>149</v>
      </c>
      <c r="L34" s="116">
        <v>3200000</v>
      </c>
      <c r="M34" s="117">
        <v>3200000</v>
      </c>
      <c r="N34" s="117">
        <v>0</v>
      </c>
      <c r="O34" s="117">
        <v>2789045</v>
      </c>
      <c r="P34" s="117">
        <v>0</v>
      </c>
      <c r="Q34" s="116"/>
      <c r="R34" s="118">
        <v>0</v>
      </c>
      <c r="S34" s="124">
        <v>0</v>
      </c>
      <c r="T34" s="124">
        <v>0</v>
      </c>
      <c r="U34" s="200">
        <f t="shared" si="2"/>
        <v>0</v>
      </c>
      <c r="V34" s="169">
        <v>3200000</v>
      </c>
      <c r="W34" s="224">
        <v>0</v>
      </c>
      <c r="X34" s="227" t="s">
        <v>430</v>
      </c>
      <c r="Y34" s="248">
        <f>VLOOKUP(C34,'Summary_by FY'!$C$1:$C$1000,1,FALSE)</f>
        <v>20772</v>
      </c>
    </row>
    <row r="35" spans="1:25" s="240" customFormat="1" hidden="1" outlineLevel="1" x14ac:dyDescent="0.4">
      <c r="A35" s="228">
        <f t="shared" si="1"/>
        <v>32</v>
      </c>
      <c r="B35" s="229" t="s">
        <v>89</v>
      </c>
      <c r="C35" s="241">
        <v>20792</v>
      </c>
      <c r="D35" s="229">
        <v>1035</v>
      </c>
      <c r="E35" s="229" t="s">
        <v>288</v>
      </c>
      <c r="F35" s="229" t="s">
        <v>154</v>
      </c>
      <c r="G35" s="231" t="str">
        <f>VLOOKUP(F35,lookup!B:C,2,FALSE)</f>
        <v>Law</v>
      </c>
      <c r="H35" s="229" t="s">
        <v>282</v>
      </c>
      <c r="I35" s="229" t="s">
        <v>283</v>
      </c>
      <c r="J35" s="229" t="s">
        <v>269</v>
      </c>
      <c r="K35" s="229" t="s">
        <v>149</v>
      </c>
      <c r="L35" s="232">
        <v>400000</v>
      </c>
      <c r="M35" s="233">
        <v>483440</v>
      </c>
      <c r="N35" s="233">
        <v>450775</v>
      </c>
      <c r="O35" s="233">
        <v>450775</v>
      </c>
      <c r="P35" s="233">
        <v>450775</v>
      </c>
      <c r="Q35" s="232"/>
      <c r="R35" s="234">
        <f>'20792'!H9</f>
        <v>483440</v>
      </c>
      <c r="S35" s="235">
        <f>'20792'!H10</f>
        <v>-32665</v>
      </c>
      <c r="T35" s="235">
        <v>0</v>
      </c>
      <c r="U35" s="236">
        <f t="shared" si="2"/>
        <v>-32665</v>
      </c>
      <c r="V35" s="237">
        <v>0</v>
      </c>
      <c r="W35" s="238">
        <v>0</v>
      </c>
      <c r="X35" s="242" t="s">
        <v>393</v>
      </c>
      <c r="Y35" s="249">
        <f>VLOOKUP(C35,'Summary_by FY'!$C$1:$C$1000,1,FALSE)</f>
        <v>20792</v>
      </c>
    </row>
    <row r="36" spans="1:25" s="100" customFormat="1" collapsed="1" x14ac:dyDescent="0.4">
      <c r="A36" s="103">
        <f t="shared" si="1"/>
        <v>33</v>
      </c>
      <c r="B36" s="101" t="s">
        <v>90</v>
      </c>
      <c r="C36" s="206">
        <v>20831</v>
      </c>
      <c r="D36" s="101">
        <v>8230</v>
      </c>
      <c r="E36" s="101"/>
      <c r="F36" s="101" t="s">
        <v>10</v>
      </c>
      <c r="G36" s="102" t="str">
        <f>VLOOKUP(F36,lookup!B:C,2,FALSE)</f>
        <v>Arts &amp; Science</v>
      </c>
      <c r="H36" s="101" t="s">
        <v>329</v>
      </c>
      <c r="I36" s="101" t="s">
        <v>330</v>
      </c>
      <c r="J36" s="101" t="s">
        <v>269</v>
      </c>
      <c r="K36" s="101" t="s">
        <v>156</v>
      </c>
      <c r="L36" s="116">
        <v>24000</v>
      </c>
      <c r="M36" s="117">
        <v>24000</v>
      </c>
      <c r="N36" s="117">
        <v>24000</v>
      </c>
      <c r="O36" s="117">
        <v>24000</v>
      </c>
      <c r="P36" s="117">
        <v>24000</v>
      </c>
      <c r="Q36" s="209">
        <v>0</v>
      </c>
      <c r="R36" s="118">
        <v>0</v>
      </c>
      <c r="S36" s="124">
        <f>'20831'!H18</f>
        <v>24000</v>
      </c>
      <c r="T36" s="124">
        <v>0</v>
      </c>
      <c r="U36" s="200">
        <f t="shared" si="2"/>
        <v>24000</v>
      </c>
      <c r="V36" s="169">
        <v>0</v>
      </c>
      <c r="W36" s="224">
        <v>0</v>
      </c>
      <c r="X36" s="101" t="s">
        <v>394</v>
      </c>
      <c r="Y36" s="248">
        <f>VLOOKUP(C36,'Summary_by FY'!$C$1:$C$1000,1,FALSE)</f>
        <v>20831</v>
      </c>
    </row>
    <row r="37" spans="1:25" s="100" customFormat="1" x14ac:dyDescent="0.4">
      <c r="A37" s="103">
        <f t="shared" si="1"/>
        <v>34</v>
      </c>
      <c r="B37" s="101" t="s">
        <v>90</v>
      </c>
      <c r="C37" s="206">
        <v>20832</v>
      </c>
      <c r="D37" s="101">
        <v>8220</v>
      </c>
      <c r="E37" s="101"/>
      <c r="F37" s="101" t="s">
        <v>10</v>
      </c>
      <c r="G37" s="102" t="str">
        <f>VLOOKUP(F37,lookup!B:C,2,FALSE)</f>
        <v>Arts &amp; Science</v>
      </c>
      <c r="H37" s="101" t="s">
        <v>205</v>
      </c>
      <c r="I37" s="101" t="s">
        <v>321</v>
      </c>
      <c r="J37" s="101" t="s">
        <v>269</v>
      </c>
      <c r="K37" s="101" t="s">
        <v>156</v>
      </c>
      <c r="L37" s="116">
        <v>24000</v>
      </c>
      <c r="M37" s="117">
        <v>24000</v>
      </c>
      <c r="N37" s="117">
        <v>24000</v>
      </c>
      <c r="O37" s="117">
        <v>24000</v>
      </c>
      <c r="P37" s="117">
        <v>24000</v>
      </c>
      <c r="Q37" s="209">
        <v>0</v>
      </c>
      <c r="R37" s="118">
        <v>0</v>
      </c>
      <c r="S37" s="124">
        <f>'20832'!H18</f>
        <v>24000</v>
      </c>
      <c r="T37" s="124">
        <v>0</v>
      </c>
      <c r="U37" s="200">
        <f t="shared" si="2"/>
        <v>24000</v>
      </c>
      <c r="V37" s="169">
        <v>0</v>
      </c>
      <c r="W37" s="224">
        <v>0</v>
      </c>
      <c r="X37" s="101" t="s">
        <v>395</v>
      </c>
      <c r="Y37" s="248">
        <f>VLOOKUP(C37,'Summary_by FY'!$C$1:$C$1000,1,FALSE)</f>
        <v>20832</v>
      </c>
    </row>
    <row r="38" spans="1:25" s="100" customFormat="1" x14ac:dyDescent="0.4">
      <c r="A38" s="103">
        <f t="shared" si="1"/>
        <v>35</v>
      </c>
      <c r="B38" s="101" t="s">
        <v>90</v>
      </c>
      <c r="C38" s="206">
        <v>20833</v>
      </c>
      <c r="D38" s="101">
        <v>8215</v>
      </c>
      <c r="E38" s="101"/>
      <c r="F38" s="101" t="s">
        <v>10</v>
      </c>
      <c r="G38" s="102" t="str">
        <f>VLOOKUP(F38,lookup!B:C,2,FALSE)</f>
        <v>Arts &amp; Science</v>
      </c>
      <c r="H38" s="101" t="s">
        <v>206</v>
      </c>
      <c r="I38" s="101" t="s">
        <v>322</v>
      </c>
      <c r="J38" s="101" t="s">
        <v>300</v>
      </c>
      <c r="K38" s="101" t="s">
        <v>156</v>
      </c>
      <c r="L38" s="116">
        <v>24000</v>
      </c>
      <c r="M38" s="117">
        <v>24000</v>
      </c>
      <c r="N38" s="117">
        <v>24000</v>
      </c>
      <c r="O38" s="117">
        <v>24000</v>
      </c>
      <c r="P38" s="117">
        <v>24000</v>
      </c>
      <c r="Q38" s="209">
        <v>0</v>
      </c>
      <c r="R38" s="118">
        <v>0</v>
      </c>
      <c r="S38" s="124">
        <f>'20833'!H18</f>
        <v>24000</v>
      </c>
      <c r="T38" s="124">
        <v>0</v>
      </c>
      <c r="U38" s="200">
        <f t="shared" si="2"/>
        <v>24000</v>
      </c>
      <c r="V38" s="169">
        <v>0</v>
      </c>
      <c r="W38" s="224">
        <v>0</v>
      </c>
      <c r="X38" s="101" t="s">
        <v>431</v>
      </c>
      <c r="Y38" s="248">
        <f>VLOOKUP(C38,'Summary_by FY'!$C$1:$C$1000,1,FALSE)</f>
        <v>20833</v>
      </c>
    </row>
    <row r="39" spans="1:25" s="240" customFormat="1" hidden="1" outlineLevel="1" x14ac:dyDescent="0.4">
      <c r="A39" s="228">
        <f t="shared" si="1"/>
        <v>36</v>
      </c>
      <c r="B39" s="229" t="s">
        <v>90</v>
      </c>
      <c r="C39" s="229">
        <v>20834</v>
      </c>
      <c r="D39" s="229"/>
      <c r="E39" s="229"/>
      <c r="F39" s="229" t="s">
        <v>28</v>
      </c>
      <c r="G39" s="231" t="str">
        <f>VLOOKUP(F39,lookup!B:C,2,FALSE)</f>
        <v>Peabody</v>
      </c>
      <c r="H39" s="229" t="s">
        <v>160</v>
      </c>
      <c r="I39" s="229" t="s">
        <v>331</v>
      </c>
      <c r="J39" s="229" t="s">
        <v>323</v>
      </c>
      <c r="K39" s="229" t="s">
        <v>156</v>
      </c>
      <c r="L39" s="232">
        <v>5000</v>
      </c>
      <c r="M39" s="233">
        <v>0</v>
      </c>
      <c r="N39" s="233">
        <v>0</v>
      </c>
      <c r="O39" s="233">
        <v>0</v>
      </c>
      <c r="P39" s="233">
        <v>0</v>
      </c>
      <c r="Q39" s="116"/>
      <c r="R39" s="234">
        <v>0</v>
      </c>
      <c r="S39" s="235">
        <v>0</v>
      </c>
      <c r="T39" s="235">
        <v>0</v>
      </c>
      <c r="U39" s="200">
        <f t="shared" si="2"/>
        <v>0</v>
      </c>
      <c r="V39" s="237">
        <v>0</v>
      </c>
      <c r="W39" s="238">
        <v>0</v>
      </c>
      <c r="X39" s="229" t="s">
        <v>375</v>
      </c>
      <c r="Y39" s="249" t="e">
        <f>VLOOKUP(C39,'Summary_by FY'!$C$1:$C$1000,1,FALSE)</f>
        <v>#N/A</v>
      </c>
    </row>
    <row r="40" spans="1:25" s="100" customFormat="1" collapsed="1" x14ac:dyDescent="0.4">
      <c r="A40" s="103">
        <f>A39+1</f>
        <v>37</v>
      </c>
      <c r="B40" s="101" t="s">
        <v>89</v>
      </c>
      <c r="C40" s="206">
        <v>20857</v>
      </c>
      <c r="D40" s="101">
        <v>8427</v>
      </c>
      <c r="E40" s="101" t="s">
        <v>355</v>
      </c>
      <c r="F40" s="101" t="s">
        <v>28</v>
      </c>
      <c r="G40" s="102" t="str">
        <f>VLOOKUP(F40,lookup!B:C,2,FALSE)</f>
        <v>Peabody</v>
      </c>
      <c r="H40" s="101" t="s">
        <v>354</v>
      </c>
      <c r="I40" s="101" t="s">
        <v>353</v>
      </c>
      <c r="J40" s="101" t="s">
        <v>224</v>
      </c>
      <c r="K40" s="101" t="s">
        <v>149</v>
      </c>
      <c r="L40" s="116">
        <v>640000</v>
      </c>
      <c r="M40" s="117">
        <v>21600</v>
      </c>
      <c r="N40" s="117">
        <v>21600</v>
      </c>
      <c r="O40" s="117">
        <v>21600</v>
      </c>
      <c r="P40" s="117">
        <v>2900</v>
      </c>
      <c r="Q40" s="116"/>
      <c r="R40" s="118">
        <v>0</v>
      </c>
      <c r="S40" s="124">
        <f>'20857'!H18</f>
        <v>21600</v>
      </c>
      <c r="T40" s="124">
        <f>509184-S40</f>
        <v>487584</v>
      </c>
      <c r="U40" s="200">
        <f t="shared" si="2"/>
        <v>509184</v>
      </c>
      <c r="V40" s="169">
        <v>0</v>
      </c>
      <c r="W40" s="224">
        <v>0</v>
      </c>
      <c r="X40" s="101" t="s">
        <v>433</v>
      </c>
      <c r="Y40" s="248">
        <f>VLOOKUP(C40,'Summary_by FY'!$C$1:$C$1000,1,FALSE)</f>
        <v>20857</v>
      </c>
    </row>
    <row r="41" spans="1:25" s="100" customFormat="1" x14ac:dyDescent="0.4">
      <c r="A41" s="103">
        <f t="shared" ref="A41:A51" si="3">A40+1</f>
        <v>38</v>
      </c>
      <c r="B41" s="101" t="s">
        <v>90</v>
      </c>
      <c r="C41" s="206">
        <v>20885</v>
      </c>
      <c r="D41" s="101">
        <v>8676</v>
      </c>
      <c r="E41" s="101"/>
      <c r="F41" s="101" t="s">
        <v>21</v>
      </c>
      <c r="G41" s="102" t="str">
        <f>VLOOKUP(F41,lookup!B:C,2,FALSE)</f>
        <v>SOM Basic Sciences</v>
      </c>
      <c r="H41" s="101" t="s">
        <v>372</v>
      </c>
      <c r="I41" s="101" t="s">
        <v>376</v>
      </c>
      <c r="J41" s="101" t="s">
        <v>178</v>
      </c>
      <c r="K41" s="101" t="s">
        <v>156</v>
      </c>
      <c r="L41" s="116">
        <v>99000</v>
      </c>
      <c r="M41" s="117">
        <v>98341</v>
      </c>
      <c r="N41" s="117">
        <v>0</v>
      </c>
      <c r="O41" s="117">
        <v>83231</v>
      </c>
      <c r="P41" s="117">
        <v>0</v>
      </c>
      <c r="Q41" s="116"/>
      <c r="R41" s="118"/>
      <c r="S41" s="124">
        <f>'20885'!H9</f>
        <v>98341</v>
      </c>
      <c r="T41" s="124">
        <v>0</v>
      </c>
      <c r="U41" s="200">
        <f t="shared" si="2"/>
        <v>98341</v>
      </c>
      <c r="V41" s="169"/>
      <c r="W41" s="224"/>
      <c r="X41" s="227" t="s">
        <v>434</v>
      </c>
      <c r="Y41" s="248">
        <f>VLOOKUP(C41,'Summary_by FY'!$C$1:$C$1000,1,FALSE)</f>
        <v>20885</v>
      </c>
    </row>
    <row r="42" spans="1:25" s="100" customFormat="1" x14ac:dyDescent="0.4">
      <c r="A42" s="103">
        <f t="shared" si="3"/>
        <v>39</v>
      </c>
      <c r="B42" s="101" t="s">
        <v>89</v>
      </c>
      <c r="C42" s="206">
        <v>20911</v>
      </c>
      <c r="D42" s="101">
        <v>8819</v>
      </c>
      <c r="E42" s="101"/>
      <c r="F42" s="101" t="s">
        <v>10</v>
      </c>
      <c r="G42" s="102" t="str">
        <f>VLOOKUP(F42,lookup!B:C,2,FALSE)</f>
        <v>Arts &amp; Science</v>
      </c>
      <c r="H42" s="101" t="s">
        <v>262</v>
      </c>
      <c r="I42" s="101" t="s">
        <v>384</v>
      </c>
      <c r="J42" s="101" t="s">
        <v>224</v>
      </c>
      <c r="K42" s="101" t="s">
        <v>149</v>
      </c>
      <c r="L42" s="116">
        <v>75000</v>
      </c>
      <c r="M42" s="117">
        <v>4100</v>
      </c>
      <c r="N42" s="117">
        <v>4100</v>
      </c>
      <c r="O42" s="117">
        <v>4100</v>
      </c>
      <c r="P42" s="117">
        <v>0</v>
      </c>
      <c r="Q42" s="116"/>
      <c r="R42" s="118"/>
      <c r="S42" s="124">
        <f>'20911'!H9</f>
        <v>4100</v>
      </c>
      <c r="T42" s="124">
        <f>61045-S42</f>
        <v>56945</v>
      </c>
      <c r="U42" s="200">
        <f t="shared" si="2"/>
        <v>61045</v>
      </c>
      <c r="V42" s="169"/>
      <c r="W42" s="224"/>
      <c r="X42" s="227" t="s">
        <v>433</v>
      </c>
      <c r="Y42" s="248">
        <f>VLOOKUP(C42,'Summary_by FY'!$C$1:$C$1000,1,FALSE)</f>
        <v>20911</v>
      </c>
    </row>
    <row r="43" spans="1:25" s="100" customFormat="1" x14ac:dyDescent="0.4">
      <c r="A43" s="103">
        <f t="shared" si="3"/>
        <v>40</v>
      </c>
      <c r="B43" s="101" t="s">
        <v>89</v>
      </c>
      <c r="C43" s="206">
        <v>20912</v>
      </c>
      <c r="D43" s="101">
        <v>8822</v>
      </c>
      <c r="E43" s="101"/>
      <c r="F43" s="101" t="s">
        <v>10</v>
      </c>
      <c r="G43" s="102" t="str">
        <f>VLOOKUP(F43,lookup!B:C,2,FALSE)</f>
        <v>Arts &amp; Science</v>
      </c>
      <c r="H43" s="101" t="s">
        <v>148</v>
      </c>
      <c r="I43" s="101" t="s">
        <v>385</v>
      </c>
      <c r="J43" s="101" t="s">
        <v>224</v>
      </c>
      <c r="K43" s="101" t="s">
        <v>149</v>
      </c>
      <c r="L43" s="116">
        <v>75000</v>
      </c>
      <c r="M43" s="117">
        <v>4100</v>
      </c>
      <c r="N43" s="117">
        <v>4100</v>
      </c>
      <c r="O43" s="117">
        <v>4100</v>
      </c>
      <c r="P43" s="117">
        <v>0</v>
      </c>
      <c r="Q43" s="116"/>
      <c r="R43" s="118"/>
      <c r="S43" s="124">
        <f>'20912'!H9</f>
        <v>4100</v>
      </c>
      <c r="T43" s="124">
        <f>59798-S43</f>
        <v>55698</v>
      </c>
      <c r="U43" s="200">
        <f t="shared" si="2"/>
        <v>59798</v>
      </c>
      <c r="V43" s="169"/>
      <c r="W43" s="224"/>
      <c r="X43" s="227" t="s">
        <v>433</v>
      </c>
      <c r="Y43" s="248">
        <f>VLOOKUP(C43,'Summary_by FY'!$C$1:$C$1000,1,FALSE)</f>
        <v>20912</v>
      </c>
    </row>
    <row r="44" spans="1:25" s="100" customFormat="1" x14ac:dyDescent="0.4">
      <c r="A44" s="103">
        <f t="shared" si="3"/>
        <v>41</v>
      </c>
      <c r="B44" s="101" t="s">
        <v>89</v>
      </c>
      <c r="C44" s="206">
        <v>20913</v>
      </c>
      <c r="D44" s="101">
        <v>8818</v>
      </c>
      <c r="E44" s="101"/>
      <c r="F44" s="101" t="s">
        <v>10</v>
      </c>
      <c r="G44" s="102" t="str">
        <f>VLOOKUP(F44,lookup!B:C,2,FALSE)</f>
        <v>Arts &amp; Science</v>
      </c>
      <c r="H44" s="101" t="s">
        <v>205</v>
      </c>
      <c r="I44" s="101" t="s">
        <v>386</v>
      </c>
      <c r="J44" s="101" t="s">
        <v>224</v>
      </c>
      <c r="K44" s="101" t="s">
        <v>149</v>
      </c>
      <c r="L44" s="116">
        <v>75000</v>
      </c>
      <c r="M44" s="117">
        <v>4100</v>
      </c>
      <c r="N44" s="117">
        <v>4100</v>
      </c>
      <c r="O44" s="117">
        <v>4100</v>
      </c>
      <c r="P44" s="117">
        <v>0</v>
      </c>
      <c r="Q44" s="116"/>
      <c r="R44" s="118"/>
      <c r="S44" s="124">
        <f>'20913'!H9</f>
        <v>4100</v>
      </c>
      <c r="T44" s="124">
        <f>96612-S44</f>
        <v>92512</v>
      </c>
      <c r="U44" s="200">
        <f t="shared" si="2"/>
        <v>96612</v>
      </c>
      <c r="V44" s="169"/>
      <c r="W44" s="224"/>
      <c r="X44" s="227" t="s">
        <v>433</v>
      </c>
      <c r="Y44" s="248">
        <f>VLOOKUP(C44,'Summary_by FY'!$C$1:$C$1000,1,FALSE)</f>
        <v>20913</v>
      </c>
    </row>
    <row r="45" spans="1:25" s="100" customFormat="1" x14ac:dyDescent="0.4">
      <c r="A45" s="103">
        <f t="shared" si="3"/>
        <v>42</v>
      </c>
      <c r="B45" s="101" t="s">
        <v>216</v>
      </c>
      <c r="C45" s="101">
        <v>20924</v>
      </c>
      <c r="D45" s="101"/>
      <c r="E45" s="101"/>
      <c r="F45" s="101" t="s">
        <v>25</v>
      </c>
      <c r="G45" s="102" t="str">
        <f>VLOOKUP(F45,lookup!B:C,2,FALSE)</f>
        <v>Nursing</v>
      </c>
      <c r="H45" s="101" t="s">
        <v>407</v>
      </c>
      <c r="I45" s="101" t="s">
        <v>409</v>
      </c>
      <c r="J45" s="101" t="s">
        <v>410</v>
      </c>
      <c r="K45" s="101" t="s">
        <v>149</v>
      </c>
      <c r="L45" s="116"/>
      <c r="M45" s="117">
        <v>0</v>
      </c>
      <c r="N45" s="117">
        <v>0</v>
      </c>
      <c r="O45" s="117">
        <v>0</v>
      </c>
      <c r="P45" s="117">
        <v>0</v>
      </c>
      <c r="Q45" s="116"/>
      <c r="R45" s="118"/>
      <c r="S45" s="124"/>
      <c r="T45" s="124"/>
      <c r="U45" s="200"/>
      <c r="V45" s="169"/>
      <c r="W45" s="224"/>
      <c r="X45" s="227" t="s">
        <v>435</v>
      </c>
      <c r="Y45" s="248">
        <f>VLOOKUP(C45,'Summary_by FY'!$C$1:$C$1000,1,FALSE)</f>
        <v>20924</v>
      </c>
    </row>
    <row r="46" spans="1:25" s="100" customFormat="1" x14ac:dyDescent="0.4">
      <c r="A46" s="103">
        <f t="shared" si="3"/>
        <v>43</v>
      </c>
      <c r="B46" s="101" t="s">
        <v>216</v>
      </c>
      <c r="C46" s="101">
        <v>20925</v>
      </c>
      <c r="D46" s="101"/>
      <c r="E46" s="101"/>
      <c r="F46" s="101" t="s">
        <v>12</v>
      </c>
      <c r="G46" s="102" t="str">
        <f>VLOOKUP(F46,lookup!B:C,2,FALSE)</f>
        <v>Blair</v>
      </c>
      <c r="H46" s="101" t="s">
        <v>150</v>
      </c>
      <c r="I46" s="101" t="s">
        <v>411</v>
      </c>
      <c r="J46" s="101" t="s">
        <v>267</v>
      </c>
      <c r="K46" s="101" t="s">
        <v>151</v>
      </c>
      <c r="L46" s="116">
        <v>2750000</v>
      </c>
      <c r="M46" s="117">
        <v>0</v>
      </c>
      <c r="N46" s="117">
        <v>0</v>
      </c>
      <c r="O46" s="117">
        <v>0</v>
      </c>
      <c r="P46" s="117">
        <v>0</v>
      </c>
      <c r="Q46" s="116"/>
      <c r="R46" s="118"/>
      <c r="S46" s="124"/>
      <c r="T46" s="124"/>
      <c r="U46" s="200"/>
      <c r="V46" s="169"/>
      <c r="W46" s="224"/>
      <c r="X46" s="227" t="s">
        <v>435</v>
      </c>
      <c r="Y46" s="248">
        <f>VLOOKUP(C46,'Summary_by FY'!$C$1:$C$1000,1,FALSE)</f>
        <v>20925</v>
      </c>
    </row>
    <row r="47" spans="1:25" s="100" customFormat="1" x14ac:dyDescent="0.4">
      <c r="A47" s="103">
        <f t="shared" si="3"/>
        <v>44</v>
      </c>
      <c r="B47" s="101" t="s">
        <v>216</v>
      </c>
      <c r="C47" s="101">
        <v>20934</v>
      </c>
      <c r="D47" s="101"/>
      <c r="E47" s="101"/>
      <c r="F47" s="101" t="s">
        <v>10</v>
      </c>
      <c r="G47" s="102" t="str">
        <f>VLOOKUP(F47,lookup!B:C,2,FALSE)</f>
        <v>Arts &amp; Science</v>
      </c>
      <c r="H47" s="101" t="s">
        <v>408</v>
      </c>
      <c r="I47" s="101" t="s">
        <v>412</v>
      </c>
      <c r="J47" s="101" t="s">
        <v>267</v>
      </c>
      <c r="K47" s="101" t="s">
        <v>156</v>
      </c>
      <c r="L47" s="116"/>
      <c r="M47" s="117">
        <v>0</v>
      </c>
      <c r="N47" s="117">
        <v>0</v>
      </c>
      <c r="O47" s="117">
        <v>0</v>
      </c>
      <c r="P47" s="117">
        <v>0</v>
      </c>
      <c r="Q47" s="116"/>
      <c r="R47" s="118"/>
      <c r="S47" s="124"/>
      <c r="T47" s="124"/>
      <c r="U47" s="200"/>
      <c r="V47" s="169"/>
      <c r="W47" s="224"/>
      <c r="X47" s="227" t="s">
        <v>435</v>
      </c>
      <c r="Y47" s="248">
        <f>VLOOKUP(C47,'Summary_by FY'!$C$1:$C$1000,1,FALSE)</f>
        <v>20934</v>
      </c>
    </row>
    <row r="48" spans="1:25" s="100" customFormat="1" x14ac:dyDescent="0.4">
      <c r="A48" s="103">
        <f t="shared" si="3"/>
        <v>45</v>
      </c>
      <c r="B48" s="101" t="s">
        <v>216</v>
      </c>
      <c r="C48" s="101">
        <v>20936</v>
      </c>
      <c r="D48" s="101">
        <v>8814</v>
      </c>
      <c r="E48" s="101"/>
      <c r="F48" s="101" t="s">
        <v>10</v>
      </c>
      <c r="G48" s="102" t="str">
        <f>VLOOKUP(F48,lookup!B:C,2,FALSE)</f>
        <v>Arts &amp; Science</v>
      </c>
      <c r="H48" s="101" t="s">
        <v>205</v>
      </c>
      <c r="I48" s="272" t="s">
        <v>413</v>
      </c>
      <c r="J48" s="101" t="s">
        <v>267</v>
      </c>
      <c r="K48" s="101" t="s">
        <v>332</v>
      </c>
      <c r="L48" s="116"/>
      <c r="M48" s="117">
        <v>0</v>
      </c>
      <c r="N48" s="117">
        <v>0</v>
      </c>
      <c r="O48" s="117">
        <v>0</v>
      </c>
      <c r="P48" s="117">
        <v>0</v>
      </c>
      <c r="Q48" s="116"/>
      <c r="R48" s="118"/>
      <c r="S48" s="124"/>
      <c r="T48" s="124"/>
      <c r="U48" s="200"/>
      <c r="V48" s="169"/>
      <c r="W48" s="224"/>
      <c r="X48" s="227" t="s">
        <v>435</v>
      </c>
      <c r="Y48" s="248">
        <f>VLOOKUP(C48,'Summary_by FY'!$C$1:$C$1000,1,FALSE)</f>
        <v>20936</v>
      </c>
    </row>
    <row r="49" spans="1:25" s="100" customFormat="1" x14ac:dyDescent="0.4">
      <c r="A49" s="103">
        <f t="shared" si="3"/>
        <v>46</v>
      </c>
      <c r="B49" s="101" t="s">
        <v>216</v>
      </c>
      <c r="C49" s="101">
        <v>20940</v>
      </c>
      <c r="D49" s="101"/>
      <c r="E49" s="101"/>
      <c r="F49" s="101" t="s">
        <v>15</v>
      </c>
      <c r="G49" s="102" t="str">
        <f>VLOOKUP(F49,lookup!B:C,2,FALSE)</f>
        <v>Engineering</v>
      </c>
      <c r="H49" s="101" t="s">
        <v>163</v>
      </c>
      <c r="I49" s="101" t="s">
        <v>414</v>
      </c>
      <c r="J49" s="101" t="s">
        <v>267</v>
      </c>
      <c r="K49" s="101" t="s">
        <v>156</v>
      </c>
      <c r="L49" s="116"/>
      <c r="M49" s="117">
        <v>0</v>
      </c>
      <c r="N49" s="117">
        <v>0</v>
      </c>
      <c r="O49" s="117">
        <v>0</v>
      </c>
      <c r="P49" s="117">
        <v>0</v>
      </c>
      <c r="Q49" s="116"/>
      <c r="R49" s="118"/>
      <c r="S49" s="124"/>
      <c r="T49" s="124"/>
      <c r="U49" s="200"/>
      <c r="V49" s="169"/>
      <c r="W49" s="224"/>
      <c r="X49" s="227" t="s">
        <v>435</v>
      </c>
      <c r="Y49" s="248">
        <f>VLOOKUP(C49,'Summary_by FY'!$C$1:$C$1000,1,FALSE)</f>
        <v>20940</v>
      </c>
    </row>
    <row r="50" spans="1:25" s="100" customFormat="1" collapsed="1" x14ac:dyDescent="0.4">
      <c r="A50" s="103">
        <f t="shared" si="3"/>
        <v>47</v>
      </c>
      <c r="B50" s="101" t="s">
        <v>216</v>
      </c>
      <c r="C50" s="101">
        <v>20945</v>
      </c>
      <c r="D50" s="101"/>
      <c r="E50" s="101"/>
      <c r="F50" s="101" t="s">
        <v>4</v>
      </c>
      <c r="G50" s="102" t="s">
        <v>399</v>
      </c>
      <c r="H50" s="101" t="s">
        <v>383</v>
      </c>
      <c r="I50" s="101" t="s">
        <v>441</v>
      </c>
      <c r="J50" s="101" t="s">
        <v>100</v>
      </c>
      <c r="K50" s="101" t="s">
        <v>357</v>
      </c>
      <c r="L50" s="116">
        <v>0</v>
      </c>
      <c r="M50" s="117">
        <v>0</v>
      </c>
      <c r="N50" s="117">
        <v>0</v>
      </c>
      <c r="O50" s="117">
        <v>0</v>
      </c>
      <c r="P50" s="117">
        <v>0</v>
      </c>
      <c r="Q50" s="116"/>
      <c r="R50" s="118"/>
      <c r="S50" s="124"/>
      <c r="T50" s="124">
        <v>99000</v>
      </c>
      <c r="U50" s="200">
        <f>SUM(S50:T50)</f>
        <v>99000</v>
      </c>
      <c r="V50" s="169" t="s">
        <v>216</v>
      </c>
      <c r="W50" s="224"/>
      <c r="X50" s="101" t="s">
        <v>432</v>
      </c>
      <c r="Y50" s="248">
        <f>VLOOKUP(C50,'Summary_by FY'!$C$1:$C$1000,1,FALSE)</f>
        <v>20945</v>
      </c>
    </row>
    <row r="51" spans="1:25" s="100" customFormat="1" x14ac:dyDescent="0.4">
      <c r="A51" s="103">
        <f t="shared" si="3"/>
        <v>48</v>
      </c>
      <c r="B51" s="101" t="s">
        <v>442</v>
      </c>
      <c r="C51" s="101" t="s">
        <v>380</v>
      </c>
      <c r="D51" s="101">
        <v>8807</v>
      </c>
      <c r="E51" s="101"/>
      <c r="F51" s="101" t="s">
        <v>154</v>
      </c>
      <c r="G51" s="102" t="str">
        <f>VLOOKUP(F51,lookup!B:C,2,FALSE)</f>
        <v>Law</v>
      </c>
      <c r="H51" s="101" t="s">
        <v>282</v>
      </c>
      <c r="I51" s="101" t="s">
        <v>369</v>
      </c>
      <c r="J51" s="101" t="s">
        <v>388</v>
      </c>
      <c r="K51" s="101" t="s">
        <v>387</v>
      </c>
      <c r="L51" s="116"/>
      <c r="M51" s="117">
        <v>0</v>
      </c>
      <c r="N51" s="117">
        <v>0</v>
      </c>
      <c r="O51" s="117">
        <v>0</v>
      </c>
      <c r="P51" s="117">
        <v>0</v>
      </c>
      <c r="Q51" s="116"/>
      <c r="R51" s="118"/>
      <c r="S51" s="124"/>
      <c r="T51" s="124">
        <f>350000*1.2</f>
        <v>420000</v>
      </c>
      <c r="U51" s="200">
        <f t="shared" si="2"/>
        <v>420000</v>
      </c>
      <c r="V51" s="169"/>
      <c r="W51" s="224"/>
      <c r="X51" s="227" t="s">
        <v>436</v>
      </c>
      <c r="Y51" s="248" t="str">
        <f>VLOOKUP(C51,'Summary_by FY'!$C$1:$C$1000,1,FALSE)</f>
        <v>WO#</v>
      </c>
    </row>
    <row r="52" spans="1:25" ht="15" thickBot="1" x14ac:dyDescent="0.45">
      <c r="B52" s="91"/>
      <c r="C52" s="91"/>
      <c r="D52" s="92"/>
      <c r="E52" s="91"/>
      <c r="F52" s="91"/>
      <c r="G52" s="104"/>
      <c r="H52" s="91"/>
      <c r="I52" s="91"/>
      <c r="J52" s="91"/>
      <c r="K52" s="91"/>
      <c r="L52" s="119">
        <f>SUM(L4:L51)</f>
        <v>36236742.759999998</v>
      </c>
      <c r="M52" s="120">
        <f>SUM(M4:M51)</f>
        <v>23321434.759999998</v>
      </c>
      <c r="N52" s="120">
        <f>SUM(N4:N51)</f>
        <v>17852927.189999998</v>
      </c>
      <c r="O52" s="120">
        <f>SUM(O4:O51)</f>
        <v>20725203.189999998</v>
      </c>
      <c r="P52" s="120">
        <f>SUM(P4:P51)</f>
        <v>10546376.799999999</v>
      </c>
      <c r="Q52" s="119">
        <f>SUM(Q4:Q51)</f>
        <v>482180.52</v>
      </c>
      <c r="R52" s="121">
        <f>SUM(R4:R51)</f>
        <v>8797286.2599999998</v>
      </c>
      <c r="S52" s="125">
        <f>SUM(S4:S51)</f>
        <v>7579182.7199999997</v>
      </c>
      <c r="T52" s="125">
        <f>SUM(T4:T51)</f>
        <v>3211739</v>
      </c>
      <c r="U52" s="201">
        <f>SUM(U4:U51)</f>
        <v>10790921.719999999</v>
      </c>
      <c r="V52" s="170">
        <f>SUM(V4:V51)</f>
        <v>4700000</v>
      </c>
      <c r="W52" s="225">
        <f>SUM(W4:W51)</f>
        <v>5680000</v>
      </c>
      <c r="X52" s="91"/>
    </row>
    <row r="53" spans="1:25" x14ac:dyDescent="0.4">
      <c r="R53" s="122" t="b">
        <f>R52='JE LOG_FY23'!C21</f>
        <v>1</v>
      </c>
      <c r="S53" s="122" t="b">
        <f>S52='JE LOG_FY24'!C21</f>
        <v>1</v>
      </c>
      <c r="U53" s="86"/>
    </row>
    <row r="54" spans="1:25" x14ac:dyDescent="0.4">
      <c r="I54" s="97" t="s">
        <v>212</v>
      </c>
    </row>
    <row r="55" spans="1:25" x14ac:dyDescent="0.4">
      <c r="I55" s="255" t="s">
        <v>378</v>
      </c>
      <c r="M55" s="158"/>
      <c r="N55" s="158"/>
      <c r="O55" s="158"/>
      <c r="P55" s="158"/>
      <c r="Q55" s="158" t="s">
        <v>255</v>
      </c>
      <c r="R55" s="158">
        <f>'Summary_for Web-1'!C15</f>
        <v>9364499</v>
      </c>
      <c r="T55" s="158" t="s">
        <v>313</v>
      </c>
      <c r="U55" s="158">
        <f>R61</f>
        <v>567212.74000000022</v>
      </c>
    </row>
    <row r="56" spans="1:25" x14ac:dyDescent="0.4">
      <c r="A56" s="84"/>
      <c r="I56" s="255" t="s">
        <v>377</v>
      </c>
      <c r="L56" s="158"/>
      <c r="M56" s="158"/>
      <c r="N56" s="158"/>
      <c r="O56" s="158"/>
      <c r="P56" s="158"/>
      <c r="Q56" s="158"/>
      <c r="R56" s="159"/>
      <c r="T56" s="158" t="s">
        <v>255</v>
      </c>
      <c r="U56" s="158">
        <f>Contributions!G14</f>
        <v>11029283.289999999</v>
      </c>
    </row>
    <row r="57" spans="1:25" x14ac:dyDescent="0.4">
      <c r="I57" s="255" t="s">
        <v>402</v>
      </c>
      <c r="J57" s="105"/>
      <c r="M57" s="158"/>
      <c r="N57" s="158"/>
      <c r="O57" s="158"/>
      <c r="P57" s="158"/>
      <c r="Q57" s="158" t="s">
        <v>256</v>
      </c>
      <c r="R57" s="159">
        <f>R52</f>
        <v>8797286.2599999998</v>
      </c>
      <c r="T57" s="158"/>
      <c r="U57" s="160">
        <f>SUM(U55:U56)</f>
        <v>11596496.029999999</v>
      </c>
    </row>
    <row r="58" spans="1:25" x14ac:dyDescent="0.4">
      <c r="I58" s="255" t="s">
        <v>440</v>
      </c>
      <c r="J58" s="105"/>
      <c r="M58" s="158"/>
      <c r="N58" s="158"/>
      <c r="O58" s="158"/>
      <c r="P58" s="158"/>
      <c r="Q58" s="158"/>
      <c r="R58" s="159"/>
      <c r="T58" s="158"/>
      <c r="U58" s="158"/>
    </row>
    <row r="59" spans="1:25" x14ac:dyDescent="0.4">
      <c r="I59" s="255"/>
      <c r="J59" s="105"/>
      <c r="L59" s="158"/>
      <c r="M59" s="158"/>
      <c r="N59" s="158"/>
      <c r="O59" s="158"/>
      <c r="P59" s="158"/>
      <c r="R59" s="159"/>
      <c r="T59" s="158"/>
      <c r="U59" s="158"/>
    </row>
    <row r="60" spans="1:25" x14ac:dyDescent="0.4">
      <c r="I60" s="255" t="s">
        <v>404</v>
      </c>
      <c r="L60" s="158"/>
      <c r="M60" s="158"/>
      <c r="N60" s="158"/>
      <c r="O60" s="158"/>
      <c r="P60" s="158"/>
      <c r="Q60" s="158"/>
      <c r="R60" s="158"/>
    </row>
    <row r="61" spans="1:25" x14ac:dyDescent="0.4">
      <c r="I61" s="255" t="s">
        <v>403</v>
      </c>
      <c r="M61" s="158"/>
      <c r="N61" s="158"/>
      <c r="O61" s="158"/>
      <c r="P61" s="158"/>
      <c r="Q61" s="158" t="s">
        <v>257</v>
      </c>
      <c r="R61" s="158">
        <f>R55-R57</f>
        <v>567212.74000000022</v>
      </c>
      <c r="T61" s="158" t="s">
        <v>256</v>
      </c>
      <c r="U61" s="159">
        <f>S52</f>
        <v>7579182.7199999997</v>
      </c>
    </row>
    <row r="62" spans="1:25" x14ac:dyDescent="0.4">
      <c r="T62" s="158" t="s">
        <v>258</v>
      </c>
      <c r="U62" s="159">
        <f>T52</f>
        <v>3211739</v>
      </c>
    </row>
    <row r="63" spans="1:25" x14ac:dyDescent="0.4">
      <c r="I63" s="97" t="s">
        <v>222</v>
      </c>
      <c r="T63" s="158"/>
      <c r="U63" s="160">
        <f>SUM(U61:U62)</f>
        <v>10790921.719999999</v>
      </c>
    </row>
    <row r="64" spans="1:25" x14ac:dyDescent="0.4">
      <c r="I64" s="98" t="s">
        <v>349</v>
      </c>
      <c r="T64" s="158"/>
      <c r="U64" s="158"/>
    </row>
    <row r="65" spans="9:21" x14ac:dyDescent="0.4">
      <c r="Q65" s="210" t="s">
        <v>397</v>
      </c>
      <c r="R65" s="210">
        <f>Q7+Q8+Q14+Q17+Q18+Q20+Q21+Q28+Q31</f>
        <v>482180.52</v>
      </c>
      <c r="T65" s="158" t="s">
        <v>257</v>
      </c>
      <c r="U65" s="158">
        <f>U57-U63</f>
        <v>805574.31000000052</v>
      </c>
    </row>
    <row r="69" spans="9:21" x14ac:dyDescent="0.4">
      <c r="I69" s="171"/>
    </row>
    <row r="70" spans="9:21" x14ac:dyDescent="0.4">
      <c r="I70" s="171"/>
    </row>
    <row r="89" spans="9:9" x14ac:dyDescent="0.4">
      <c r="I89" s="101"/>
    </row>
    <row r="90" spans="9:9" x14ac:dyDescent="0.4">
      <c r="I90" s="101"/>
    </row>
    <row r="91" spans="9:9" x14ac:dyDescent="0.4">
      <c r="I91" s="101"/>
    </row>
    <row r="92" spans="9:9" x14ac:dyDescent="0.4">
      <c r="I92" s="101"/>
    </row>
    <row r="93" spans="9:9" x14ac:dyDescent="0.4">
      <c r="I93" s="101"/>
    </row>
    <row r="94" spans="9:9" x14ac:dyDescent="0.4">
      <c r="I94" s="101"/>
    </row>
    <row r="95" spans="9:9" x14ac:dyDescent="0.4">
      <c r="I95" s="101"/>
    </row>
    <row r="96" spans="9:9" x14ac:dyDescent="0.4">
      <c r="I96" s="101"/>
    </row>
    <row r="97" spans="9:9" x14ac:dyDescent="0.4">
      <c r="I97" s="101"/>
    </row>
    <row r="98" spans="9:9" x14ac:dyDescent="0.4">
      <c r="I98" s="101"/>
    </row>
  </sheetData>
  <sortState xmlns:xlrd2="http://schemas.microsoft.com/office/spreadsheetml/2017/richdata2" ref="A4:X23">
    <sortCondition ref="C4:C23"/>
    <sortCondition ref="J4:J23"/>
    <sortCondition descending="1" ref="L4:L23"/>
  </sortState>
  <phoneticPr fontId="5" type="noConversion"/>
  <hyperlinks>
    <hyperlink ref="R1" location="'JE LOG_FY23'!A1" display="'JE LOG_FY23'!A1" xr:uid="{4AA5BFBA-BD76-4E23-903B-8F8B27E7CF98}"/>
    <hyperlink ref="U1" location="'JE LOG_FY24'!A1" display="'JE LOG_FY24'!A1" xr:uid="{99AF6BF7-AF06-41DE-9239-729475E55066}"/>
    <hyperlink ref="C4" location="'10085'!A1" display="'10085'!A1" xr:uid="{28D4DF83-C31B-47FC-9AC0-5D220C97A63C}"/>
    <hyperlink ref="C5" location="'10098'!A1" display="'10098'!A1" xr:uid="{373BE11F-2E64-482C-B05A-BB275305D949}"/>
    <hyperlink ref="C6" location="'10146'!A1" display="'10146'!A1" xr:uid="{FF0F8BA0-459A-408F-B9D3-FA7F2D2EE021}"/>
    <hyperlink ref="C7" location="'20179'!A1" display="'20179'!A1" xr:uid="{55B14098-0F8C-43BE-9FE8-0D88F96B1BCA}"/>
    <hyperlink ref="C8" location="'20336'!A1" display="'20336'!A1" xr:uid="{2DC0FA85-9BAB-4AC1-ABDC-23DF9A3A008E}"/>
    <hyperlink ref="C9" location="'20431'!A1" display="'20431'!A1" xr:uid="{07FBEB51-1B05-4E73-A12A-C27287215C2B}"/>
    <hyperlink ref="C10" location="'20478'!A1" display="'20478'!A1" xr:uid="{C7EF4184-FED0-4DED-8D60-3EF1EE199007}"/>
    <hyperlink ref="C11" location="'20489'!A1" display="'20489'!A1" xr:uid="{9D7230F2-BDBE-41B1-B203-593A2F245F0A}"/>
    <hyperlink ref="C12" location="'20497'!A1" display="'20497'!A1" xr:uid="{A285E0E7-E54C-46AC-8F3E-DBB506498D71}"/>
    <hyperlink ref="C13" location="'20506'!A1" display="'20506'!A1" xr:uid="{B96F768D-31D9-4A7D-B477-3010B4993724}"/>
    <hyperlink ref="C14" location="'20562'!A1" display="'20562'!A1" xr:uid="{F63E76B8-75D7-495E-B439-FA9B60CEC18B}"/>
    <hyperlink ref="C16" location="'20566'!A1" display="'20566'!A1" xr:uid="{65FBC9C7-BEE8-4170-8DEC-6BD53C5DB8F2}"/>
    <hyperlink ref="C17" location="'20573'!A1" display="'20573'!A1" xr:uid="{7DC91A01-1BD7-4CBA-80B9-1CB0017E903C}"/>
    <hyperlink ref="C18" location="'20574'!A1" display="'20574'!A1" xr:uid="{3F58BF7F-74EA-40E1-A2D9-B0788A4CAA56}"/>
    <hyperlink ref="C19" location="'20577'!A1" display="'20577'!A1" xr:uid="{E4E03EDC-1D85-495A-996F-28BDA1FE2D95}"/>
    <hyperlink ref="C20" location="'20644'!A1" display="'20644'!A1" xr:uid="{56D90246-5045-4E6D-920C-C9EB79BA1867}"/>
    <hyperlink ref="C21" location="'20645'!A1" display="'20645'!A1" xr:uid="{5C077A91-6F5B-4609-96DB-D5862E31195D}"/>
    <hyperlink ref="C22" location="'20667'!A1" display="'20667'!A1" xr:uid="{B0EFA3A9-F118-4010-BC9B-FFB850AE03D3}"/>
    <hyperlink ref="C23" location="'20668'!A1" display="'20668'!A1" xr:uid="{71996D7E-F482-4DA2-96F5-C382FB8E6C8A}"/>
    <hyperlink ref="C24" location="'20698'!A1" display="'20698'!A1" xr:uid="{2C14D74A-7E9A-4498-9A54-2F16479FB91A}"/>
    <hyperlink ref="C25" location="'20700'!A1" display="'20700'!A1" xr:uid="{9B9974FF-2668-4A8D-8324-DB31439E834C}"/>
    <hyperlink ref="C26" location="'20701'!A1" display="'20701'!A1" xr:uid="{522EC4C6-1BB6-426D-9A22-93A808432E75}"/>
    <hyperlink ref="C27" location="'20702'!A1" display="'20702'!A1" xr:uid="{95ABA0AF-84D5-44F1-9DE8-F420044682C0}"/>
    <hyperlink ref="C28" location="'20718'!A1" display="'20718'!A1" xr:uid="{18ADD449-2D9B-458A-9F77-6CF3FFB38953}"/>
    <hyperlink ref="C29" location="'20723'!A1" display="'20723'!A1" xr:uid="{E58F18E4-8CE2-43E5-8E13-6E4EA658536A}"/>
    <hyperlink ref="C30" location="'20724'!A1" display="'20724'!A1" xr:uid="{B28A8F17-F6BC-4BCC-9062-12EB54161B68}"/>
    <hyperlink ref="C31" location="'20735'!A1" display="'20735'!A1" xr:uid="{281D51F0-83F8-4122-802A-733DE5411652}"/>
    <hyperlink ref="C35" location="'20792'!A1" display="'20792'!A1" xr:uid="{97B25019-50BA-4723-B61B-4F5C13979F91}"/>
    <hyperlink ref="C33" location="'20771'!A1" display="'20771'!A1" xr:uid="{9CCE891A-4EAE-45F0-97BC-86E45CF5D430}"/>
    <hyperlink ref="C38" location="'20833'!A1" display="'20833'!A1" xr:uid="{D660A35B-E5FA-4306-B284-C599161FF1B9}"/>
    <hyperlink ref="C37" location="'20832'!A1" display="'20832'!A1" xr:uid="{558B6E4F-42AF-4C1D-A848-552C93D37A2B}"/>
    <hyperlink ref="C36" location="'20831'!A1" display="'20831'!A1" xr:uid="{B4100B18-B071-4D4E-B0B0-FC25FA5C0356}"/>
    <hyperlink ref="C40" location="'20857'!A1" display="'20857'!A1" xr:uid="{4F373CCB-5B9B-496C-80AB-3C3313143CC6}"/>
    <hyperlink ref="C42" location="'20911'!A1" display="'20911'!A1" xr:uid="{5A7847D4-8EB2-4850-AAFA-711670B2EB33}"/>
    <hyperlink ref="C43" location="'20912'!A1" display="'20912'!A1" xr:uid="{51B82CFE-DB43-4221-B61A-F79AB22CDF20}"/>
    <hyperlink ref="C44" location="'20913'!A1" display="'20913'!A1" xr:uid="{495AC23D-8D67-4BBC-9782-C5F54726F3F8}"/>
    <hyperlink ref="C41" location="'20885'!A1" display="'20885'!A1" xr:uid="{C23E2461-412D-46B9-8764-3533EF3FFF30}"/>
  </hyperlink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EEF1-D88B-4EE5-8B38-BB408A186926}">
  <sheetPr>
    <tabColor theme="3" tint="0.39997558519241921"/>
  </sheetPr>
  <dimension ref="A2:O108"/>
  <sheetViews>
    <sheetView topLeftCell="A51" zoomScale="80" zoomScaleNormal="80" workbookViewId="0">
      <selection activeCell="B53" sqref="B53"/>
    </sheetView>
  </sheetViews>
  <sheetFormatPr defaultRowHeight="14.6" outlineLevelCol="1" x14ac:dyDescent="0.4"/>
  <cols>
    <col min="2" max="2" width="3.53515625" bestFit="1" customWidth="1"/>
    <col min="3" max="3" width="8.53515625" bestFit="1" customWidth="1"/>
    <col min="4" max="4" width="29.3828125" bestFit="1" customWidth="1"/>
    <col min="5" max="5" width="64.3046875" bestFit="1" customWidth="1"/>
    <col min="6" max="6" width="20.69140625" customWidth="1"/>
    <col min="7" max="7" width="13.84375" bestFit="1" customWidth="1"/>
    <col min="8" max="8" width="14.15234375" customWidth="1"/>
    <col min="9" max="10" width="12" style="21" customWidth="1" outlineLevel="1"/>
    <col min="11" max="12" width="14.15234375" customWidth="1"/>
    <col min="14" max="14" width="11.15234375" bestFit="1" customWidth="1"/>
    <col min="15" max="15" width="10.53515625" bestFit="1" customWidth="1"/>
  </cols>
  <sheetData>
    <row r="2" spans="1:12" x14ac:dyDescent="0.4">
      <c r="A2" s="267" t="s">
        <v>290</v>
      </c>
      <c r="B2" s="174"/>
      <c r="C2" s="174" t="s">
        <v>125</v>
      </c>
      <c r="D2" s="174" t="s">
        <v>114</v>
      </c>
      <c r="E2" s="174" t="s">
        <v>87</v>
      </c>
      <c r="F2" s="174" t="s">
        <v>128</v>
      </c>
      <c r="G2" s="174" t="s">
        <v>129</v>
      </c>
      <c r="H2" s="185" t="s">
        <v>294</v>
      </c>
      <c r="I2" s="175" t="s">
        <v>256</v>
      </c>
      <c r="J2" s="175" t="s">
        <v>292</v>
      </c>
      <c r="K2" s="191" t="s">
        <v>291</v>
      </c>
      <c r="L2" s="192" t="s">
        <v>257</v>
      </c>
    </row>
    <row r="3" spans="1:12" ht="14.7" customHeight="1" x14ac:dyDescent="0.4">
      <c r="A3" s="267"/>
      <c r="B3" s="108">
        <v>1</v>
      </c>
      <c r="C3">
        <v>10085</v>
      </c>
      <c r="D3" t="str">
        <f>VLOOKUP(C3,'Project Status'!C:H,6,FALSE)</f>
        <v>ONE MAGNOLIA CIRCLE</v>
      </c>
      <c r="E3" t="str">
        <f>VLOOKUP(C3,'Project Status'!C:I,7,FALSE)</f>
        <v>One Magnolia Circle - Modify/Upgrade Electrical and Grounding</v>
      </c>
      <c r="F3" t="str">
        <f>VLOOKUP(C3,'Project Status'!C:J,8,FALSE)</f>
        <v>Finalized</v>
      </c>
      <c r="G3" t="str">
        <f>VLOOKUP(C3,'Project Status'!C:K,9,FALSE)</f>
        <v>Sean Rewers</v>
      </c>
      <c r="H3" s="266">
        <v>9364499</v>
      </c>
      <c r="I3" s="21">
        <f>VLOOKUP(C3,'Project Status'!C:R,16,FALSE)</f>
        <v>17500</v>
      </c>
      <c r="K3" s="173">
        <f>SUM(I3:J3)</f>
        <v>17500</v>
      </c>
      <c r="L3" s="196"/>
    </row>
    <row r="4" spans="1:12" x14ac:dyDescent="0.4">
      <c r="A4" s="267"/>
      <c r="B4" s="108">
        <v>2</v>
      </c>
      <c r="C4">
        <v>10098</v>
      </c>
      <c r="D4" t="str">
        <f>VLOOKUP(C4,'Project Status'!C:H,6,FALSE)</f>
        <v>MRB III BIO/SCI</v>
      </c>
      <c r="E4" t="str">
        <f>VLOOKUP(C4,'Project Status'!C:I,7,FALSE)</f>
        <v>MRB III - 4th Floor - Replace Controls (Phase 2)</v>
      </c>
      <c r="F4" t="s">
        <v>234</v>
      </c>
      <c r="G4" t="str">
        <f>VLOOKUP(C4,'Project Status'!C:K,9,FALSE)</f>
        <v>Hans Mooy</v>
      </c>
      <c r="H4" s="266"/>
      <c r="I4" s="21">
        <f>VLOOKUP(C4,'Project Status'!C:R,16,FALSE)</f>
        <v>1216485.5</v>
      </c>
      <c r="K4" s="173">
        <f t="shared" ref="K4:K31" si="0">SUM(I4:J4)</f>
        <v>1216485.5</v>
      </c>
      <c r="L4" s="196"/>
    </row>
    <row r="5" spans="1:12" x14ac:dyDescent="0.4">
      <c r="A5" s="267"/>
      <c r="B5" s="108">
        <v>3</v>
      </c>
      <c r="C5">
        <v>10146</v>
      </c>
      <c r="D5" t="str">
        <f>VLOOKUP(C5,'Project Status'!C:H,6,FALSE)</f>
        <v>GODCHAUX HALL</v>
      </c>
      <c r="E5" t="str">
        <f>VLOOKUP(C5,'Project Status'!C:I,7,FALSE)</f>
        <v>Godchaux Hall - HVAC Upgrade</v>
      </c>
      <c r="F5" t="s">
        <v>100</v>
      </c>
      <c r="G5" t="str">
        <f>VLOOKUP(C5,'Project Status'!C:K,9,FALSE)</f>
        <v>Sean Rewers</v>
      </c>
      <c r="H5" s="266"/>
      <c r="I5" s="21">
        <f>VLOOKUP(C5,'Project Status'!C:R,16,FALSE)</f>
        <v>4900</v>
      </c>
      <c r="K5" s="173">
        <f t="shared" si="0"/>
        <v>4900</v>
      </c>
      <c r="L5" s="196"/>
    </row>
    <row r="6" spans="1:12" x14ac:dyDescent="0.4">
      <c r="A6" s="267"/>
      <c r="B6" s="108">
        <v>4</v>
      </c>
      <c r="C6">
        <v>20179</v>
      </c>
      <c r="D6" t="str">
        <f>VLOOKUP(C6,'Project Status'!C:H,6,FALSE)</f>
        <v>LAW SCHOOL</v>
      </c>
      <c r="E6" t="str">
        <f>VLOOKUP(C6,'Project Status'!C:I,7,FALSE)</f>
        <v>Law School - Fire Alarm System Replacement</v>
      </c>
      <c r="F6" t="s">
        <v>234</v>
      </c>
      <c r="G6" t="str">
        <f>VLOOKUP(C6,'Project Status'!C:K,9,FALSE)</f>
        <v>Bob Grummon</v>
      </c>
      <c r="H6" s="266"/>
      <c r="I6" s="21">
        <f>VLOOKUP(C6,'Project Status'!C:R,16,FALSE)</f>
        <v>722694.5</v>
      </c>
      <c r="K6" s="173">
        <f t="shared" si="0"/>
        <v>722694.5</v>
      </c>
      <c r="L6" s="196"/>
    </row>
    <row r="7" spans="1:12" x14ac:dyDescent="0.4">
      <c r="A7" s="267"/>
      <c r="B7" s="108">
        <v>5</v>
      </c>
      <c r="C7">
        <v>20336</v>
      </c>
      <c r="D7" t="str">
        <f>VLOOKUP(C7,'Project Status'!C:H,6,FALSE)</f>
        <v>BLAIR SCHOOL OF MUSIC</v>
      </c>
      <c r="E7" t="str">
        <f>VLOOKUP(C7,'Project Status'!C:I,7,FALSE)</f>
        <v>Blair School of Music - Elevator #3 Modernization</v>
      </c>
      <c r="F7" t="s">
        <v>101</v>
      </c>
      <c r="G7" t="str">
        <f>VLOOKUP(C7,'Project Status'!C:K,9,FALSE)</f>
        <v>Ben Bedock</v>
      </c>
      <c r="H7" s="266"/>
      <c r="I7" s="21">
        <f>VLOOKUP(C7,'Project Status'!C:R,16,FALSE)</f>
        <v>327890</v>
      </c>
      <c r="K7" s="173">
        <f t="shared" si="0"/>
        <v>327890</v>
      </c>
      <c r="L7" s="196"/>
    </row>
    <row r="8" spans="1:12" x14ac:dyDescent="0.4">
      <c r="A8" s="267"/>
      <c r="B8" s="108">
        <v>6</v>
      </c>
      <c r="C8">
        <v>20431</v>
      </c>
      <c r="D8" t="str">
        <f>VLOOKUP(C8,'Project Status'!C:H,6,FALSE)</f>
        <v>DIVINITY</v>
      </c>
      <c r="E8" t="str">
        <f>VLOOKUP(C8,'Project Status'!C:I,7,FALSE)</f>
        <v>Divinity Air Handling Unit Replacement, (5/6)- Phase 1</v>
      </c>
      <c r="F8" t="s">
        <v>101</v>
      </c>
      <c r="G8" t="str">
        <f>VLOOKUP(C8,'Project Status'!C:K,9,FALSE)</f>
        <v>Hans Mooy</v>
      </c>
      <c r="H8" s="266"/>
      <c r="I8" s="21">
        <f>VLOOKUP(C8,'Project Status'!C:R,16,FALSE)</f>
        <v>69862.5</v>
      </c>
      <c r="K8" s="173">
        <f t="shared" si="0"/>
        <v>69862.5</v>
      </c>
      <c r="L8" s="196"/>
    </row>
    <row r="9" spans="1:12" x14ac:dyDescent="0.4">
      <c r="A9" s="267"/>
      <c r="B9" s="108">
        <v>7</v>
      </c>
      <c r="C9">
        <v>20478</v>
      </c>
      <c r="D9" t="str">
        <f>VLOOKUP(C9,'Project Status'!C:H,6,FALSE)</f>
        <v>BRYAN BLDG</v>
      </c>
      <c r="E9" t="str">
        <f>VLOOKUP(C9,'Project Status'!C:I,7,FALSE)</f>
        <v>Bryan Building - Swing Space Renovation - A&amp;S Planning</v>
      </c>
      <c r="F9" t="s">
        <v>224</v>
      </c>
      <c r="G9" t="str">
        <f>VLOOKUP(C9,'Project Status'!C:K,9,FALSE)</f>
        <v>Cathy Bartlett</v>
      </c>
      <c r="H9" s="266"/>
      <c r="I9" s="21">
        <f>VLOOKUP(C9,'Project Status'!C:R,16,FALSE)</f>
        <v>81100</v>
      </c>
      <c r="K9" s="173">
        <f t="shared" si="0"/>
        <v>81100</v>
      </c>
      <c r="L9" s="196"/>
    </row>
    <row r="10" spans="1:12" x14ac:dyDescent="0.4">
      <c r="A10" s="267"/>
      <c r="B10" s="108">
        <v>8</v>
      </c>
      <c r="C10">
        <v>20489</v>
      </c>
      <c r="D10" t="str">
        <f>VLOOKUP(C10,'Project Status'!C:H,6,FALSE)</f>
        <v>DIVINITY</v>
      </c>
      <c r="E10" t="str">
        <f>VLOOKUP(C10,'Project Status'!C:I,7,FALSE)</f>
        <v>Divinity Air Handling Unit Replacement, (1/3) - Phase 2 with Benton</v>
      </c>
      <c r="F10" t="s">
        <v>100</v>
      </c>
      <c r="G10" t="str">
        <f>VLOOKUP(C10,'Project Status'!C:K,9,FALSE)</f>
        <v>Hans Mooy</v>
      </c>
      <c r="H10" s="266"/>
      <c r="I10" s="21">
        <f>VLOOKUP(C10,'Project Status'!C:R,16,FALSE)</f>
        <v>26500</v>
      </c>
      <c r="K10" s="173">
        <f t="shared" si="0"/>
        <v>26500</v>
      </c>
      <c r="L10" s="196"/>
    </row>
    <row r="11" spans="1:12" x14ac:dyDescent="0.4">
      <c r="A11" s="267"/>
      <c r="B11" s="108">
        <v>9</v>
      </c>
      <c r="C11">
        <v>20497</v>
      </c>
      <c r="D11" t="str">
        <f>VLOOKUP(C11,'Project Status'!C:H,6,FALSE)</f>
        <v>JESUP PSYCHOLOGY</v>
      </c>
      <c r="E11" t="str">
        <f>VLOOKUP(C11,'Project Status'!C:I,7,FALSE)</f>
        <v>Jesup - Roof Replacement</v>
      </c>
      <c r="F11" t="s">
        <v>101</v>
      </c>
      <c r="G11" t="str">
        <f>VLOOKUP(C11,'Project Status'!C:K,9,FALSE)</f>
        <v>Ben Bedock</v>
      </c>
      <c r="H11" s="266"/>
      <c r="I11" s="21">
        <f>VLOOKUP(C11,'Project Status'!C:R,16,FALSE)</f>
        <v>79415.5</v>
      </c>
      <c r="K11" s="173">
        <f t="shared" si="0"/>
        <v>79415.5</v>
      </c>
      <c r="L11" s="196"/>
    </row>
    <row r="12" spans="1:12" x14ac:dyDescent="0.4">
      <c r="A12" s="267"/>
      <c r="B12" s="108">
        <v>10</v>
      </c>
      <c r="C12">
        <v>20506</v>
      </c>
      <c r="D12" t="str">
        <f>VLOOKUP(C12,'Project Status'!C:H,6,FALSE)</f>
        <v>WYATT CENTER</v>
      </c>
      <c r="E12" t="str">
        <f>VLOOKUP(C12,'Project Status'!C:I,7,FALSE)</f>
        <v>Wyatt Center - Window Replacement</v>
      </c>
      <c r="F12" t="s">
        <v>101</v>
      </c>
      <c r="G12" t="str">
        <f>VLOOKUP(C12,'Project Status'!C:K,9,FALSE)</f>
        <v>Ben Bedock</v>
      </c>
      <c r="H12" s="266"/>
      <c r="I12" s="21">
        <f>VLOOKUP(C12,'Project Status'!C:R,16,FALSE)</f>
        <v>344155.26</v>
      </c>
      <c r="K12" s="173">
        <f t="shared" si="0"/>
        <v>344155.26</v>
      </c>
      <c r="L12" s="196"/>
    </row>
    <row r="13" spans="1:12" x14ac:dyDescent="0.4">
      <c r="A13" s="267"/>
      <c r="B13" s="108">
        <v>11</v>
      </c>
      <c r="C13">
        <v>20562</v>
      </c>
      <c r="D13" t="str">
        <f>VLOOKUP(C13,'Project Status'!C:H,6,FALSE)</f>
        <v>WYATT CENTER</v>
      </c>
      <c r="E13" t="str">
        <f>VLOOKUP(C13,'Project Status'!C:I,7,FALSE)</f>
        <v>Wyatt Center - VAV Replacement</v>
      </c>
      <c r="F13" t="s">
        <v>101</v>
      </c>
      <c r="G13" t="str">
        <f>VLOOKUP(C13,'Project Status'!C:K,9,FALSE)</f>
        <v>Sean Rewers</v>
      </c>
      <c r="H13" s="266"/>
      <c r="I13" s="21">
        <f>VLOOKUP(C13,'Project Status'!C:R,16,FALSE)</f>
        <v>405791</v>
      </c>
      <c r="K13" s="173">
        <f t="shared" si="0"/>
        <v>405791</v>
      </c>
      <c r="L13" s="196"/>
    </row>
    <row r="14" spans="1:12" x14ac:dyDescent="0.4">
      <c r="A14" s="267"/>
      <c r="B14" s="108">
        <v>12</v>
      </c>
      <c r="C14">
        <v>20566</v>
      </c>
      <c r="D14" t="str">
        <f>VLOOKUP(C14,'Project Status'!C:H,6,FALSE)</f>
        <v>SC CHEMISTRY</v>
      </c>
      <c r="E14" t="str">
        <f>VLOOKUP(C14,'Project Status'!C:I,7,FALSE)</f>
        <v>SC Chemistry (SC7) - Elevator 1 &amp; 2 Modernization</v>
      </c>
      <c r="F14" t="s">
        <v>101</v>
      </c>
      <c r="G14" t="str">
        <f>VLOOKUP(C14,'Project Status'!C:K,9,FALSE)</f>
        <v>Ben Bedock</v>
      </c>
      <c r="H14" s="266"/>
      <c r="I14" s="21">
        <f>VLOOKUP(C14,'Project Status'!C:R,16,FALSE)</f>
        <v>781870</v>
      </c>
      <c r="K14" s="173">
        <f t="shared" si="0"/>
        <v>781870</v>
      </c>
      <c r="L14" s="196"/>
    </row>
    <row r="15" spans="1:12" x14ac:dyDescent="0.4">
      <c r="A15" s="267"/>
      <c r="B15" s="108">
        <v>13</v>
      </c>
      <c r="C15">
        <v>20573</v>
      </c>
      <c r="D15" t="str">
        <f>VLOOKUP(C15,'Project Status'!C:H,6,FALSE)</f>
        <v>WYATT CENTER</v>
      </c>
      <c r="E15" t="str">
        <f>VLOOKUP(C15,'Project Status'!C:I,7,FALSE)</f>
        <v>Wyatt Center - Roof Replacement</v>
      </c>
      <c r="F15" t="s">
        <v>101</v>
      </c>
      <c r="G15" t="str">
        <f>VLOOKUP(C15,'Project Status'!C:K,9,FALSE)</f>
        <v>Ben Bedock</v>
      </c>
      <c r="H15" s="266"/>
      <c r="I15" s="21">
        <f>VLOOKUP(C15,'Project Status'!C:R,16,FALSE)</f>
        <v>1232681</v>
      </c>
      <c r="K15" s="173">
        <f t="shared" si="0"/>
        <v>1232681</v>
      </c>
      <c r="L15" s="196"/>
    </row>
    <row r="16" spans="1:12" x14ac:dyDescent="0.4">
      <c r="A16" s="267"/>
      <c r="B16" s="108">
        <v>14</v>
      </c>
      <c r="C16">
        <v>20574</v>
      </c>
      <c r="D16" t="str">
        <f>VLOOKUP(C16,'Project Status'!C:H,6,FALSE)</f>
        <v>MRB III BIO/SCI</v>
      </c>
      <c r="E16" t="str">
        <f>VLOOKUP(C16,'Project Status'!C:I,7,FALSE)</f>
        <v>MRB III - Steam Coil Replacement</v>
      </c>
      <c r="F16" t="s">
        <v>101</v>
      </c>
      <c r="G16" t="str">
        <f>VLOOKUP(C16,'Project Status'!C:K,9,FALSE)</f>
        <v>Sean Rewers</v>
      </c>
      <c r="H16" s="266"/>
      <c r="I16" s="21">
        <f>VLOOKUP(C16,'Project Status'!C:R,16,FALSE)</f>
        <v>218202</v>
      </c>
      <c r="K16" s="173">
        <f t="shared" si="0"/>
        <v>218202</v>
      </c>
      <c r="L16" s="196"/>
    </row>
    <row r="17" spans="1:12" x14ac:dyDescent="0.4">
      <c r="A17" s="267"/>
      <c r="B17" s="108">
        <v>15</v>
      </c>
      <c r="C17">
        <v>20577</v>
      </c>
      <c r="D17" t="str">
        <f>VLOOKUP(C17,'Project Status'!C:H,6,FALSE)</f>
        <v>BLAIR SCHOOL OF MUSIC</v>
      </c>
      <c r="E17" t="str">
        <f>VLOOKUP(C17,'Project Status'!C:I,7,FALSE)</f>
        <v>Blair School of Music - Air Handling Unit Replacement -Phase 1</v>
      </c>
      <c r="F17" t="s">
        <v>100</v>
      </c>
      <c r="G17" t="str">
        <f>VLOOKUP(C17,'Project Status'!C:K,9,FALSE)</f>
        <v>Hans Mooy</v>
      </c>
      <c r="H17" s="266"/>
      <c r="I17" s="21">
        <f>VLOOKUP(C17,'Project Status'!C:R,16,FALSE)</f>
        <v>223000</v>
      </c>
      <c r="K17" s="173">
        <f t="shared" si="0"/>
        <v>223000</v>
      </c>
      <c r="L17" s="196"/>
    </row>
    <row r="18" spans="1:12" x14ac:dyDescent="0.4">
      <c r="A18" s="267"/>
      <c r="B18" s="108">
        <v>16</v>
      </c>
      <c r="C18">
        <v>20644</v>
      </c>
      <c r="D18" t="str">
        <f>VLOOKUP(C18,'Project Status'!C:H,6,FALSE)</f>
        <v>PEABODY ADMINISTRATION</v>
      </c>
      <c r="E18" t="str">
        <f>VLOOKUP(C18,'Project Status'!C:I,7,FALSE)</f>
        <v>Peabody Administration - Envelope Repairs</v>
      </c>
      <c r="F18" t="s">
        <v>101</v>
      </c>
      <c r="G18" t="str">
        <f>VLOOKUP(C18,'Project Status'!C:K,9,FALSE)</f>
        <v>Ben Bedock</v>
      </c>
      <c r="H18" s="266"/>
      <c r="I18" s="21">
        <f>VLOOKUP(C18,'Project Status'!C:R,16,FALSE)</f>
        <v>630554</v>
      </c>
      <c r="K18" s="173">
        <f t="shared" si="0"/>
        <v>630554</v>
      </c>
      <c r="L18" s="196"/>
    </row>
    <row r="19" spans="1:12" x14ac:dyDescent="0.4">
      <c r="A19" s="267"/>
      <c r="B19" s="108">
        <v>17</v>
      </c>
      <c r="C19">
        <v>20645</v>
      </c>
      <c r="D19" t="str">
        <f>VLOOKUP(C19,'Project Status'!C:H,6,FALSE)</f>
        <v>BENSON OLD CENTRAL</v>
      </c>
      <c r="E19" t="str">
        <f>VLOOKUP(C19,'Project Status'!C:I,7,FALSE)</f>
        <v>Benson Old Central - Replace Soffit and Doors</v>
      </c>
      <c r="F19" t="s">
        <v>178</v>
      </c>
      <c r="G19" t="str">
        <f>VLOOKUP(C19,'Project Status'!C:K,9,FALSE)</f>
        <v>Ben Bedock</v>
      </c>
      <c r="H19" s="266"/>
      <c r="I19" s="21">
        <f>VLOOKUP(C19,'Project Status'!C:R,16,FALSE)</f>
        <v>125875</v>
      </c>
      <c r="K19" s="173">
        <f t="shared" si="0"/>
        <v>125875</v>
      </c>
      <c r="L19" s="196"/>
    </row>
    <row r="20" spans="1:12" x14ac:dyDescent="0.4">
      <c r="A20" s="267"/>
      <c r="B20" s="108">
        <v>18</v>
      </c>
      <c r="C20">
        <v>20667</v>
      </c>
      <c r="D20" t="str">
        <f>VLOOKUP(C20,'Project Status'!C:H,6,FALSE)</f>
        <v>1025 16TH AVE S</v>
      </c>
      <c r="E20" t="str">
        <f>VLOOKUP(C20,'Project Status'!C:I,7,FALSE)</f>
        <v>1025 16th Avenue - Mechanical and Electrical Upgrades</v>
      </c>
      <c r="F20" t="s">
        <v>100</v>
      </c>
      <c r="G20" t="str">
        <f>VLOOKUP(C20,'Project Status'!C:K,9,FALSE)</f>
        <v>Sean Rewers</v>
      </c>
      <c r="H20" s="266"/>
      <c r="I20" s="21">
        <f>VLOOKUP(C20,'Project Status'!C:R,16,FALSE)</f>
        <v>146500</v>
      </c>
      <c r="K20" s="173">
        <f t="shared" si="0"/>
        <v>146500</v>
      </c>
      <c r="L20" s="196"/>
    </row>
    <row r="21" spans="1:12" x14ac:dyDescent="0.4">
      <c r="A21" s="267"/>
      <c r="B21" s="108">
        <v>19</v>
      </c>
      <c r="C21">
        <v>20668</v>
      </c>
      <c r="D21" t="str">
        <f>VLOOKUP(C21,'Project Status'!C:H,6,FALSE)</f>
        <v>KECK FREE ELECTRON LASER CTR</v>
      </c>
      <c r="E21" t="str">
        <f>VLOOKUP(C21,'Project Status'!C:I,7,FALSE)</f>
        <v>Keck FEL - Mechanical Upgrades</v>
      </c>
      <c r="F21" t="s">
        <v>100</v>
      </c>
      <c r="G21" t="str">
        <f>VLOOKUP(C21,'Project Status'!C:K,9,FALSE)</f>
        <v>Sean Rewers</v>
      </c>
      <c r="H21" s="266"/>
      <c r="I21" s="21">
        <f>VLOOKUP(C21,'Project Status'!C:R,16,FALSE)</f>
        <v>206500</v>
      </c>
      <c r="K21" s="173">
        <f t="shared" si="0"/>
        <v>206500</v>
      </c>
      <c r="L21" s="196"/>
    </row>
    <row r="22" spans="1:12" x14ac:dyDescent="0.4">
      <c r="A22" s="267"/>
      <c r="B22" s="108">
        <v>20</v>
      </c>
      <c r="C22">
        <v>20698</v>
      </c>
      <c r="D22" t="str">
        <f>VLOOKUP(C22,'Project Status'!C:H,6,FALSE)</f>
        <v>WILSON HALL</v>
      </c>
      <c r="E22" t="str">
        <f>VLOOKUP(C22,'Project Status'!C:I,7,FALSE)</f>
        <v>Wilson Hall - Fire Alarm Replacement</v>
      </c>
      <c r="F22" t="s">
        <v>100</v>
      </c>
      <c r="G22" t="str">
        <f>VLOOKUP(C22,'Project Status'!C:K,9,FALSE)</f>
        <v>Sean Rewers</v>
      </c>
      <c r="H22" s="266"/>
      <c r="I22" s="21">
        <f>VLOOKUP(C22,'Project Status'!C:R,16,FALSE)</f>
        <v>29250</v>
      </c>
      <c r="K22" s="173">
        <f t="shared" si="0"/>
        <v>29250</v>
      </c>
      <c r="L22" s="196"/>
    </row>
    <row r="23" spans="1:12" x14ac:dyDescent="0.4">
      <c r="A23" s="267"/>
      <c r="B23" s="108">
        <v>21</v>
      </c>
      <c r="C23">
        <v>20700</v>
      </c>
      <c r="D23" t="str">
        <f>VLOOKUP(C23,'Project Status'!C:H,6,FALSE)</f>
        <v>SC CHEMISTRY</v>
      </c>
      <c r="E23" t="str">
        <f>VLOOKUP(C23,'Project Status'!C:I,7,FALSE)</f>
        <v>SC-7 Chemistry - SG-1 Removal and Connection to Central Plant Steam</v>
      </c>
      <c r="F23" t="s">
        <v>101</v>
      </c>
      <c r="G23" t="str">
        <f>VLOOKUP(C23,'Project Status'!C:K,9,FALSE)</f>
        <v>Sean Rewers</v>
      </c>
      <c r="H23" s="266"/>
      <c r="I23" s="21">
        <f>VLOOKUP(C23,'Project Status'!C:R,16,FALSE)</f>
        <v>79623</v>
      </c>
      <c r="K23" s="173">
        <f t="shared" si="0"/>
        <v>79623</v>
      </c>
      <c r="L23" s="196"/>
    </row>
    <row r="24" spans="1:12" x14ac:dyDescent="0.4">
      <c r="A24" s="267"/>
      <c r="B24" s="108">
        <v>22</v>
      </c>
      <c r="C24">
        <v>20701</v>
      </c>
      <c r="D24" t="str">
        <f>VLOOKUP(C24,'Project Status'!C:H,6,FALSE)</f>
        <v>SC SCIENCE &amp; ENGINEERING</v>
      </c>
      <c r="E24" t="str">
        <f>VLOOKUP(C24,'Project Status'!C:I,7,FALSE)</f>
        <v>SC-5 - Chemical Discharge Replacement</v>
      </c>
      <c r="F24" t="s">
        <v>178</v>
      </c>
      <c r="G24" t="str">
        <f>VLOOKUP(C24,'Project Status'!C:K,9,FALSE)</f>
        <v>Sean Rewers</v>
      </c>
      <c r="H24" s="266"/>
      <c r="I24" s="21">
        <f>VLOOKUP(C24,'Project Status'!C:R,16,FALSE)</f>
        <v>499093</v>
      </c>
      <c r="K24" s="173">
        <f t="shared" si="0"/>
        <v>499093</v>
      </c>
      <c r="L24" s="196"/>
    </row>
    <row r="25" spans="1:12" x14ac:dyDescent="0.4">
      <c r="A25" s="267"/>
      <c r="B25" s="108">
        <v>23</v>
      </c>
      <c r="C25">
        <v>20702</v>
      </c>
      <c r="D25" t="str">
        <f>VLOOKUP(C25,'Project Status'!C:H,6,FALSE)</f>
        <v>WYATT CENTER</v>
      </c>
      <c r="E25" t="str">
        <f>VLOOKUP(C25,'Project Status'!C:I,7,FALSE)</f>
        <v>Wyatt Center - Elevator #2 Modernization</v>
      </c>
      <c r="F25" t="s">
        <v>101</v>
      </c>
      <c r="G25" t="str">
        <f>VLOOKUP(C25,'Project Status'!C:K,9,FALSE)</f>
        <v>Ben Bedock</v>
      </c>
      <c r="H25" s="266"/>
      <c r="I25" s="21">
        <f>VLOOKUP(C25,'Project Status'!C:R,16,FALSE)</f>
        <v>239341</v>
      </c>
      <c r="K25" s="173">
        <f t="shared" si="0"/>
        <v>239341</v>
      </c>
      <c r="L25" s="196"/>
    </row>
    <row r="26" spans="1:12" x14ac:dyDescent="0.4">
      <c r="A26" s="267"/>
      <c r="B26" s="108">
        <v>24</v>
      </c>
      <c r="C26">
        <v>20718</v>
      </c>
      <c r="D26" t="str">
        <f>VLOOKUP(C26,'Project Status'!C:H,6,FALSE)</f>
        <v>BUTTRICK HALL</v>
      </c>
      <c r="E26" t="str">
        <f>VLOOKUP(C26,'Project Status'!C:I,7,FALSE)</f>
        <v>Buttrick Hall - 3rd Floor Inequality Renovations</v>
      </c>
      <c r="F26" t="s">
        <v>101</v>
      </c>
      <c r="G26" t="str">
        <f>VLOOKUP(C26,'Project Status'!C:K,9,FALSE)</f>
        <v>Erin Fry</v>
      </c>
      <c r="H26" s="266"/>
      <c r="I26" s="21">
        <f>VLOOKUP(C26,'Project Status'!C:R,16,FALSE)</f>
        <v>96166</v>
      </c>
      <c r="K26" s="173">
        <f t="shared" si="0"/>
        <v>96166</v>
      </c>
      <c r="L26" s="196"/>
    </row>
    <row r="27" spans="1:12" x14ac:dyDescent="0.4">
      <c r="A27" s="267"/>
      <c r="B27" s="108">
        <v>25</v>
      </c>
      <c r="C27">
        <v>20723</v>
      </c>
      <c r="D27" t="str">
        <f>VLOOKUP(C27,'Project Status'!C:H,6,FALSE)</f>
        <v>MRB III BIO/SCI</v>
      </c>
      <c r="E27" t="str">
        <f>VLOOKUP(C27,'Project Status'!C:I,7,FALSE)</f>
        <v>MRB III - 9th Floor (with 4 ,5 &amp; 8) - Replace Controls (Phase 3)</v>
      </c>
      <c r="F27" t="s">
        <v>109</v>
      </c>
      <c r="G27" t="str">
        <f>VLOOKUP(C27,'Project Status'!C:K,9,FALSE)</f>
        <v>Andy Maddox</v>
      </c>
      <c r="H27" s="266"/>
      <c r="I27" s="21">
        <f>VLOOKUP(C27,'Project Status'!C:R,16,FALSE)</f>
        <v>160500</v>
      </c>
      <c r="K27" s="173">
        <f t="shared" si="0"/>
        <v>160500</v>
      </c>
      <c r="L27" s="196"/>
    </row>
    <row r="28" spans="1:12" x14ac:dyDescent="0.4">
      <c r="A28" s="267"/>
      <c r="B28" s="108">
        <v>26</v>
      </c>
      <c r="C28">
        <v>20724</v>
      </c>
      <c r="D28" t="str">
        <f>VLOOKUP(C28,'Project Status'!C:H,6,FALSE)</f>
        <v>BLAIR SCHOOL OF MUSIC</v>
      </c>
      <c r="E28" t="str">
        <f>VLOOKUP(C28,'Project Status'!C:I,7,FALSE)</f>
        <v>Blair School of Music - Steam Line</v>
      </c>
      <c r="F28" t="s">
        <v>100</v>
      </c>
      <c r="G28" t="str">
        <f>VLOOKUP(C28,'Project Status'!C:K,9,FALSE)</f>
        <v>Hans Mooy</v>
      </c>
      <c r="H28" s="266"/>
      <c r="I28" s="21">
        <f>VLOOKUP(C28,'Project Status'!C:R,16,FALSE)</f>
        <v>23400</v>
      </c>
      <c r="K28" s="173">
        <f t="shared" si="0"/>
        <v>23400</v>
      </c>
      <c r="L28" s="196"/>
    </row>
    <row r="29" spans="1:12" x14ac:dyDescent="0.4">
      <c r="A29" s="267"/>
      <c r="B29" s="108">
        <v>27</v>
      </c>
      <c r="C29">
        <v>20735</v>
      </c>
      <c r="D29" t="str">
        <f>VLOOKUP(C29,'Project Status'!C:H,6,FALSE)</f>
        <v>OWEN GRAD MGMT</v>
      </c>
      <c r="E29" t="str">
        <f>VLOOKUP(C29,'Project Status'!C:I,7,FALSE)</f>
        <v>Owen - Roof Replacement (Third Level)</v>
      </c>
      <c r="F29" t="s">
        <v>101</v>
      </c>
      <c r="G29" t="str">
        <f>VLOOKUP(C29,'Project Status'!C:K,9,FALSE)</f>
        <v>Ben Bedock</v>
      </c>
      <c r="H29" s="266"/>
      <c r="I29" s="21">
        <f>VLOOKUP(C29,'Project Status'!C:R,16,FALSE)</f>
        <v>300000</v>
      </c>
      <c r="K29" s="173">
        <f t="shared" si="0"/>
        <v>300000</v>
      </c>
      <c r="L29" s="196"/>
    </row>
    <row r="30" spans="1:12" x14ac:dyDescent="0.4">
      <c r="A30" s="267"/>
      <c r="B30" s="108">
        <v>28</v>
      </c>
      <c r="C30">
        <v>20771</v>
      </c>
      <c r="D30" t="str">
        <f>VLOOKUP(C30,'Project Status'!C:H,6,FALSE)</f>
        <v>SC CHEMISTRY</v>
      </c>
      <c r="E30" t="str">
        <f>VLOOKUP(C30,'Project Status'!C:I,7,FALSE)</f>
        <v>SC4 - Interstitial Space HVAC Modifications</v>
      </c>
      <c r="F30" t="s">
        <v>101</v>
      </c>
      <c r="G30" t="str">
        <f>VLOOKUP(C30,'Project Status'!C:K,9,FALSE)</f>
        <v>Sean Rewers</v>
      </c>
      <c r="H30" s="266"/>
      <c r="I30" s="21">
        <f>VLOOKUP(C30,'Project Status'!C:R,16,FALSE)</f>
        <v>24997</v>
      </c>
      <c r="K30" s="173">
        <f t="shared" si="0"/>
        <v>24997</v>
      </c>
      <c r="L30" s="196"/>
    </row>
    <row r="31" spans="1:12" x14ac:dyDescent="0.4">
      <c r="A31" s="267"/>
      <c r="B31" s="108">
        <v>29</v>
      </c>
      <c r="C31">
        <v>20792</v>
      </c>
      <c r="D31" t="str">
        <f>VLOOKUP(C31,'Project Status'!C:H,6,FALSE)</f>
        <v>LAW SCHOOL</v>
      </c>
      <c r="E31" t="str">
        <f>VLOOKUP(C31,'Project Status'!C:I,7,FALSE)</f>
        <v>Law School - Sections 1, 2, &amp; 3  Roof Replacement</v>
      </c>
      <c r="F31" t="s">
        <v>178</v>
      </c>
      <c r="G31" t="str">
        <f>VLOOKUP(C31,'Project Status'!C:K,9,FALSE)</f>
        <v>Ben Bedock</v>
      </c>
      <c r="H31" s="266"/>
      <c r="I31" s="21">
        <f>VLOOKUP(C31,'Project Status'!C:R,16,FALSE)</f>
        <v>483440</v>
      </c>
      <c r="K31" s="173">
        <f t="shared" si="0"/>
        <v>483440</v>
      </c>
      <c r="L31" s="196"/>
    </row>
    <row r="32" spans="1:12" x14ac:dyDescent="0.4">
      <c r="H32" s="266"/>
      <c r="I32" s="176">
        <f t="shared" ref="I32:J32" si="1">SUM(I3:I31)</f>
        <v>8797286.2599999998</v>
      </c>
      <c r="J32" s="176">
        <f t="shared" si="1"/>
        <v>0</v>
      </c>
      <c r="K32" s="176">
        <f>SUM(K3:K31)</f>
        <v>8797286.2599999998</v>
      </c>
      <c r="L32" s="176">
        <f>H3-K32</f>
        <v>567212.74000000022</v>
      </c>
    </row>
    <row r="34" spans="1:14" x14ac:dyDescent="0.4">
      <c r="A34" s="268" t="s">
        <v>293</v>
      </c>
      <c r="B34" s="177"/>
      <c r="C34" s="177" t="s">
        <v>125</v>
      </c>
      <c r="D34" s="177" t="s">
        <v>114</v>
      </c>
      <c r="E34" s="177" t="s">
        <v>87</v>
      </c>
      <c r="F34" s="177" t="s">
        <v>128</v>
      </c>
      <c r="G34" s="177" t="s">
        <v>129</v>
      </c>
      <c r="H34" s="186" t="s">
        <v>294</v>
      </c>
      <c r="I34" s="178" t="s">
        <v>256</v>
      </c>
      <c r="J34" s="178" t="s">
        <v>292</v>
      </c>
      <c r="K34" s="190" t="s">
        <v>291</v>
      </c>
      <c r="L34" s="189" t="s">
        <v>257</v>
      </c>
    </row>
    <row r="35" spans="1:14" ht="14.7" customHeight="1" x14ac:dyDescent="0.4">
      <c r="A35" s="268"/>
      <c r="B35" s="108">
        <v>1</v>
      </c>
      <c r="C35">
        <v>20431</v>
      </c>
      <c r="D35" t="str">
        <f>VLOOKUP(C35,'Project Status'!C:H,6,FALSE)</f>
        <v>DIVINITY</v>
      </c>
      <c r="E35" s="3" t="str">
        <f>VLOOKUP(C35,'Project Status'!C:I,7,FALSE)</f>
        <v>Divinity Air Handling Unit Replacement, (5/6)- Phase 1</v>
      </c>
      <c r="F35" s="3" t="str">
        <f>VLOOKUP(C35,'Project Status'!C:J,8,FALSE)</f>
        <v>Construction</v>
      </c>
      <c r="G35" s="3" t="str">
        <f>VLOOKUP(C35,'Project Status'!C:K,9,FALSE)</f>
        <v>Hans Mooy</v>
      </c>
      <c r="H35" s="270">
        <f>Contributions!G14</f>
        <v>11029283.289999999</v>
      </c>
      <c r="I35" s="245">
        <f>VLOOKUP(C35,'Project Status'!C:S,17,FALSE)</f>
        <v>3660360</v>
      </c>
      <c r="J35" s="221">
        <f>VLOOKUP(C35,'Project Status'!C:T,18,FALSE)</f>
        <v>0</v>
      </c>
      <c r="K35" s="181">
        <f t="shared" ref="K35:K46" si="2">IF(J35="TBD",J35,SUM(I35:J35))</f>
        <v>3660360</v>
      </c>
      <c r="L35" s="195"/>
      <c r="M35" s="20" t="s">
        <v>368</v>
      </c>
    </row>
    <row r="36" spans="1:14" x14ac:dyDescent="0.4">
      <c r="A36" s="268"/>
      <c r="B36" s="108">
        <v>2</v>
      </c>
      <c r="C36">
        <v>20724</v>
      </c>
      <c r="D36" t="str">
        <f>VLOOKUP(C36,'Project Status'!C:H,6,FALSE)</f>
        <v>BLAIR SCHOOL OF MUSIC</v>
      </c>
      <c r="E36" s="3" t="str">
        <f>VLOOKUP(C36,'Project Status'!C:I,7,FALSE)</f>
        <v>Blair School of Music - Steam Line</v>
      </c>
      <c r="F36" s="3" t="str">
        <f>VLOOKUP(C36,'Project Status'!C:J,8,FALSE)</f>
        <v>Construction</v>
      </c>
      <c r="G36" s="3" t="str">
        <f>VLOOKUP(C36,'Project Status'!C:K,9,FALSE)</f>
        <v>Hans Mooy</v>
      </c>
      <c r="H36" s="270"/>
      <c r="I36" s="245">
        <f>VLOOKUP(C36,'Project Status'!C:S,17,FALSE)</f>
        <v>1964100</v>
      </c>
      <c r="J36" s="221">
        <f>VLOOKUP(C36,'Project Status'!C:T,18,FALSE)</f>
        <v>0</v>
      </c>
      <c r="K36" s="181">
        <f t="shared" si="2"/>
        <v>1964100</v>
      </c>
      <c r="L36" s="195"/>
    </row>
    <row r="37" spans="1:14" x14ac:dyDescent="0.4">
      <c r="A37" s="268"/>
      <c r="B37" s="108">
        <v>3</v>
      </c>
      <c r="C37">
        <v>20478</v>
      </c>
      <c r="D37" t="str">
        <f>VLOOKUP(C37,'Project Status'!C:H,6,FALSE)</f>
        <v>BRYAN BLDG</v>
      </c>
      <c r="E37" s="3" t="str">
        <f>VLOOKUP(C37,'Project Status'!C:I,7,FALSE)</f>
        <v>Bryan Building - Swing Space Renovation - A&amp;S Planning</v>
      </c>
      <c r="F37" s="3" t="str">
        <f>VLOOKUP(C37,'Project Status'!C:J,8,FALSE)</f>
        <v>Warranty or Construction Closeout</v>
      </c>
      <c r="G37" s="3" t="str">
        <f>VLOOKUP(C37,'Project Status'!C:K,9,FALSE)</f>
        <v>Cathy Bartlett</v>
      </c>
      <c r="H37" s="270"/>
      <c r="I37" s="245">
        <f>VLOOKUP(C37,'Project Status'!C:S,17,FALSE)</f>
        <v>1028900</v>
      </c>
      <c r="J37" s="221">
        <f>VLOOKUP(C37,'Project Status'!C:T,18,FALSE)</f>
        <v>0</v>
      </c>
      <c r="K37" s="181">
        <f t="shared" si="2"/>
        <v>1028900</v>
      </c>
      <c r="L37" s="195"/>
    </row>
    <row r="38" spans="1:14" x14ac:dyDescent="0.4">
      <c r="A38" s="268"/>
      <c r="B38" s="108">
        <v>4</v>
      </c>
      <c r="C38">
        <v>20831</v>
      </c>
      <c r="D38" t="str">
        <f>VLOOKUP(C38,'Project Status'!C:H,6,FALSE)</f>
        <v>SC PHYSICS &amp; ASTRONOMY</v>
      </c>
      <c r="E38" s="3" t="str">
        <f>VLOOKUP(C38,'Project Status'!C:I,7,FALSE)</f>
        <v>SC6 - HVAC Upgrades - Feasibility Study</v>
      </c>
      <c r="F38" s="3" t="str">
        <f>VLOOKUP(C38,'Project Status'!C:J,8,FALSE)</f>
        <v>Financial Closeout</v>
      </c>
      <c r="G38" s="3" t="str">
        <f>VLOOKUP(C38,'Project Status'!C:K,9,FALSE)</f>
        <v>Sean Rewers</v>
      </c>
      <c r="H38" s="270"/>
      <c r="I38" s="245">
        <f>VLOOKUP(C38,'Project Status'!C:S,17,FALSE)</f>
        <v>24000</v>
      </c>
      <c r="J38" s="221">
        <f>VLOOKUP(C38,'Project Status'!C:T,18,FALSE)</f>
        <v>0</v>
      </c>
      <c r="K38" s="181">
        <f t="shared" si="2"/>
        <v>24000</v>
      </c>
      <c r="L38" s="195"/>
    </row>
    <row r="39" spans="1:14" x14ac:dyDescent="0.4">
      <c r="A39" s="268"/>
      <c r="B39" s="108">
        <v>5</v>
      </c>
      <c r="C39">
        <v>20832</v>
      </c>
      <c r="D39" t="str">
        <f>VLOOKUP(C39,'Project Status'!C:H,6,FALSE)</f>
        <v>WILSON HALL</v>
      </c>
      <c r="E39" s="3" t="str">
        <f>VLOOKUP(C39,'Project Status'!C:I,7,FALSE)</f>
        <v>Wilson Hall - HVAC Replacement</v>
      </c>
      <c r="F39" s="3" t="str">
        <f>VLOOKUP(C39,'Project Status'!C:J,8,FALSE)</f>
        <v>Financial Closeout</v>
      </c>
      <c r="G39" s="3" t="str">
        <f>VLOOKUP(C39,'Project Status'!C:K,9,FALSE)</f>
        <v>Sean Rewers</v>
      </c>
      <c r="H39" s="270"/>
      <c r="I39" s="245">
        <f>VLOOKUP(C39,'Project Status'!C:S,17,FALSE)</f>
        <v>24000</v>
      </c>
      <c r="J39" s="221">
        <f>VLOOKUP(C39,'Project Status'!C:T,18,FALSE)</f>
        <v>0</v>
      </c>
      <c r="K39" s="181">
        <f t="shared" si="2"/>
        <v>24000</v>
      </c>
      <c r="L39" s="195"/>
    </row>
    <row r="40" spans="1:14" x14ac:dyDescent="0.4">
      <c r="A40" s="268"/>
      <c r="B40" s="108">
        <v>6</v>
      </c>
      <c r="C40">
        <v>20833</v>
      </c>
      <c r="D40" t="str">
        <f>VLOOKUP(C40,'Project Status'!C:H,6,FALSE)</f>
        <v>SC SCIENCE &amp; ENGINEERING</v>
      </c>
      <c r="E40" s="3" t="str">
        <f>VLOOKUP(C40,'Project Status'!C:I,7,FALSE)</f>
        <v>SC5 - HVAC Replacement</v>
      </c>
      <c r="F40" s="3" t="str">
        <f>VLOOKUP(C40,'Project Status'!C:J,8,FALSE)</f>
        <v>Warranty or Construction Closeout</v>
      </c>
      <c r="G40" s="3" t="str">
        <f>VLOOKUP(C40,'Project Status'!C:K,9,FALSE)</f>
        <v>Sean Rewers</v>
      </c>
      <c r="H40" s="270"/>
      <c r="I40" s="245">
        <f>VLOOKUP(C40,'Project Status'!C:S,17,FALSE)</f>
        <v>24000</v>
      </c>
      <c r="J40" s="221">
        <f>VLOOKUP(C40,'Project Status'!C:T,18,FALSE)</f>
        <v>0</v>
      </c>
      <c r="K40" s="181">
        <f t="shared" si="2"/>
        <v>24000</v>
      </c>
      <c r="L40" s="195"/>
    </row>
    <row r="41" spans="1:14" x14ac:dyDescent="0.4">
      <c r="A41" s="268"/>
      <c r="B41" s="108">
        <v>7</v>
      </c>
      <c r="C41">
        <v>20700</v>
      </c>
      <c r="D41" t="str">
        <f>VLOOKUP(C41,'Project Status'!C:H,6,FALSE)</f>
        <v>SC CHEMISTRY</v>
      </c>
      <c r="E41" s="3" t="str">
        <f>VLOOKUP(C41,'Project Status'!C:I,7,FALSE)</f>
        <v>SC-7 Chemistry - SG-1 Removal and Connection to Central Plant Steam</v>
      </c>
      <c r="F41" s="3" t="str">
        <f>VLOOKUP(C41,'Project Status'!C:J,8,FALSE)</f>
        <v>Financial Closeout</v>
      </c>
      <c r="G41" s="3" t="str">
        <f>VLOOKUP(C41,'Project Status'!C:K,9,FALSE)</f>
        <v>Sean Rewers</v>
      </c>
      <c r="H41" s="270"/>
      <c r="I41" s="245">
        <f>VLOOKUP(C41,'Project Status'!C:S,17,FALSE)</f>
        <v>5954</v>
      </c>
      <c r="J41" s="221">
        <f>VLOOKUP(C41,'Project Status'!C:T,18,FALSE)</f>
        <v>0</v>
      </c>
      <c r="K41" s="181">
        <f t="shared" si="2"/>
        <v>5954</v>
      </c>
      <c r="L41" s="195"/>
    </row>
    <row r="42" spans="1:14" x14ac:dyDescent="0.4">
      <c r="A42" s="268"/>
      <c r="B42" s="108">
        <v>8</v>
      </c>
      <c r="C42">
        <v>20767</v>
      </c>
      <c r="D42" t="str">
        <f>VLOOKUP(C42,'Project Status'!C:H,6,FALSE)</f>
        <v>SIX MAGNOLIA CIRCLE</v>
      </c>
      <c r="E42" s="3" t="str">
        <f>VLOOKUP(C42,'Project Status'!C:I,7,FALSE)</f>
        <v>Six Magnolia Circle - Foundation Repairs</v>
      </c>
      <c r="F42" s="3" t="str">
        <f>VLOOKUP(C42,'Project Status'!C:J,8,FALSE)</f>
        <v>Bidding</v>
      </c>
      <c r="G42" s="3" t="str">
        <f>VLOOKUP(C42,'Project Status'!C:K,9,FALSE)</f>
        <v>Jay Surprenant</v>
      </c>
      <c r="H42" s="270"/>
      <c r="I42" s="245">
        <f>VLOOKUP(C42,'Project Status'!C:S,17,FALSE)</f>
        <v>0</v>
      </c>
      <c r="J42" s="221" t="str">
        <f>VLOOKUP(C42,'Project Status'!C:T,18,FALSE)</f>
        <v>TBD</v>
      </c>
      <c r="K42" s="181" t="str">
        <f t="shared" si="2"/>
        <v>TBD</v>
      </c>
      <c r="L42" s="195"/>
      <c r="N42" s="173"/>
    </row>
    <row r="43" spans="1:14" x14ac:dyDescent="0.4">
      <c r="A43" s="268"/>
      <c r="B43" s="108">
        <v>9</v>
      </c>
      <c r="C43">
        <v>20857</v>
      </c>
      <c r="D43" t="str">
        <f>VLOOKUP(C43,'Project Status'!C:H,6,FALSE)</f>
        <v>ONE MAGNOLIA CIRCLE</v>
      </c>
      <c r="E43" s="3" t="str">
        <f>VLOOKUP(C43,'Project Status'!C:I,7,FALSE)</f>
        <v>One Magnolia Circle - Elevator Modernization</v>
      </c>
      <c r="F43" s="3" t="str">
        <f>VLOOKUP(C43,'Project Status'!C:J,8,FALSE)</f>
        <v>Bidding</v>
      </c>
      <c r="G43" s="3" t="str">
        <f>VLOOKUP(C43,'Project Status'!C:K,9,FALSE)</f>
        <v>Ben Bedock</v>
      </c>
      <c r="H43" s="270"/>
      <c r="I43" s="245">
        <f>VLOOKUP(C43,'Project Status'!C:S,17,FALSE)</f>
        <v>21600</v>
      </c>
      <c r="J43" s="221">
        <f>VLOOKUP(C43,'Project Status'!C:T,18,FALSE)</f>
        <v>487584</v>
      </c>
      <c r="K43" s="181">
        <f t="shared" si="2"/>
        <v>509184</v>
      </c>
      <c r="L43" s="195"/>
    </row>
    <row r="44" spans="1:14" x14ac:dyDescent="0.4">
      <c r="A44" s="268"/>
      <c r="B44" s="108">
        <v>10</v>
      </c>
      <c r="C44">
        <v>20667</v>
      </c>
      <c r="D44" t="str">
        <f>VLOOKUP(C44,'Project Status'!C:H,6,FALSE)</f>
        <v>1025 16TH AVE S</v>
      </c>
      <c r="E44" s="3" t="str">
        <f>VLOOKUP(C44,'Project Status'!C:I,7,FALSE)</f>
        <v>1025 16th Avenue - Mechanical and Electrical Upgrades</v>
      </c>
      <c r="F44" s="3" t="str">
        <f>VLOOKUP(C44,'Project Status'!C:J,8,FALSE)</f>
        <v>Design</v>
      </c>
      <c r="G44" s="3" t="str">
        <f>VLOOKUP(C44,'Project Status'!C:K,9,FALSE)</f>
        <v>Sean Rewers</v>
      </c>
      <c r="H44" s="270"/>
      <c r="I44" s="245">
        <f>VLOOKUP(C44,'Project Status'!C:S,17,FALSE)</f>
        <v>0</v>
      </c>
      <c r="J44" s="221">
        <f>VLOOKUP(C44,'Project Status'!C:T,18,FALSE)</f>
        <v>2000000</v>
      </c>
      <c r="K44" s="181">
        <f t="shared" si="2"/>
        <v>2000000</v>
      </c>
      <c r="L44" s="195"/>
    </row>
    <row r="45" spans="1:14" x14ac:dyDescent="0.4">
      <c r="A45" s="268"/>
      <c r="B45" s="108">
        <v>11</v>
      </c>
      <c r="C45">
        <v>10146</v>
      </c>
      <c r="D45" t="str">
        <f>VLOOKUP(C45,'Project Status'!C:H,6,FALSE)</f>
        <v>GODCHAUX HALL</v>
      </c>
      <c r="E45" s="3" t="str">
        <f>VLOOKUP(C45,'Project Status'!C:I,7,FALSE)</f>
        <v>Godchaux Hall - HVAC Upgrade</v>
      </c>
      <c r="F45" s="3" t="str">
        <f>VLOOKUP(C45,'Project Status'!C:J,8,FALSE)</f>
        <v>Award</v>
      </c>
      <c r="G45" s="3" t="str">
        <f>VLOOKUP(C45,'Project Status'!C:K,9,FALSE)</f>
        <v>Sean Rewers</v>
      </c>
      <c r="H45" s="270"/>
      <c r="I45" s="245">
        <f>VLOOKUP(C45,'Project Status'!C:S,17,FALSE)</f>
        <v>255957</v>
      </c>
      <c r="J45" s="221">
        <f>VLOOKUP(C45,'Project Status'!C:T,18,FALSE)</f>
        <v>0</v>
      </c>
      <c r="K45" s="181">
        <f t="shared" si="2"/>
        <v>255957</v>
      </c>
      <c r="L45" s="195"/>
    </row>
    <row r="46" spans="1:14" x14ac:dyDescent="0.4">
      <c r="A46" s="268"/>
      <c r="B46" s="108">
        <v>12</v>
      </c>
      <c r="C46">
        <v>20698</v>
      </c>
      <c r="D46" t="str">
        <f>VLOOKUP(C46,'Project Status'!C:H,6,FALSE)</f>
        <v>WILSON HALL</v>
      </c>
      <c r="E46" s="3" t="str">
        <f>VLOOKUP(C46,'Project Status'!C:I,7,FALSE)</f>
        <v>Wilson Hall - Fire Alarm Replacement</v>
      </c>
      <c r="F46" s="3" t="str">
        <f>VLOOKUP(C46,'Project Status'!C:J,8,FALSE)</f>
        <v>Award</v>
      </c>
      <c r="G46" s="3" t="str">
        <f>VLOOKUP(C46,'Project Status'!C:K,9,FALSE)</f>
        <v>Sean Rewers</v>
      </c>
      <c r="H46" s="270"/>
      <c r="I46" s="245">
        <f>VLOOKUP(C46,'Project Status'!C:S,17,FALSE)</f>
        <v>649263</v>
      </c>
      <c r="J46" s="221">
        <f>VLOOKUP(C46,'Project Status'!C:T,18,FALSE)</f>
        <v>0</v>
      </c>
      <c r="K46" s="181">
        <f t="shared" si="2"/>
        <v>649263</v>
      </c>
      <c r="L46" s="195"/>
    </row>
    <row r="47" spans="1:14" x14ac:dyDescent="0.4">
      <c r="A47" s="268"/>
      <c r="B47" s="108">
        <v>13</v>
      </c>
      <c r="C47" s="246" t="s">
        <v>380</v>
      </c>
      <c r="D47" t="str">
        <f>VLOOKUP(C47,'Project Status'!C:H,6,FALSE)</f>
        <v>LAW SCHOOL</v>
      </c>
      <c r="E47" s="3" t="str">
        <f>VLOOKUP(C47,'Project Status'!C:I,7,FALSE)</f>
        <v>Law School - Exterior Window Painting</v>
      </c>
      <c r="F47" s="3" t="str">
        <f>VLOOKUP(C47,'Project Status'!C:J,8,FALSE)</f>
        <v>Planning</v>
      </c>
      <c r="G47" s="3" t="str">
        <f>VLOOKUP(C47,'Project Status'!C:K,9,FALSE)</f>
        <v>Terry Haley</v>
      </c>
      <c r="H47" s="270"/>
      <c r="I47" s="245">
        <f>VLOOKUP(C47,'Project Status'!C:S,17,FALSE)</f>
        <v>0</v>
      </c>
      <c r="J47" s="180">
        <f>VLOOKUP(C47,'Project Status'!C:T,18,FALSE)</f>
        <v>420000</v>
      </c>
      <c r="K47" s="181">
        <f t="shared" ref="K47:K48" si="3">IF(J47="TBD",J47,SUM(I47:J47))</f>
        <v>420000</v>
      </c>
      <c r="L47" s="195"/>
    </row>
    <row r="48" spans="1:14" x14ac:dyDescent="0.4">
      <c r="A48" s="268"/>
      <c r="B48" s="108">
        <v>14</v>
      </c>
      <c r="C48">
        <v>20885</v>
      </c>
      <c r="D48" t="str">
        <f>VLOOKUP(C48,'Project Status'!C:H,6,FALSE)</f>
        <v>BIOMOLECULAR NMR</v>
      </c>
      <c r="E48" s="3" t="str">
        <f>VLOOKUP(C48,'Project Status'!C:I,7,FALSE)</f>
        <v>NMR - Replace Air Compressors</v>
      </c>
      <c r="F48" s="3" t="str">
        <f>VLOOKUP(C48,'Project Status'!C:J,8,FALSE)</f>
        <v>Award</v>
      </c>
      <c r="G48" s="3" t="str">
        <f>VLOOKUP(C48,'Project Status'!C:K,9,FALSE)</f>
        <v>Sean Rewers</v>
      </c>
      <c r="H48" s="270"/>
      <c r="I48" s="245">
        <f>VLOOKUP(C48,'Project Status'!C:S,17,FALSE)</f>
        <v>98341</v>
      </c>
      <c r="J48" s="180">
        <f>VLOOKUP(C48,'Project Status'!C:T,18,FALSE)</f>
        <v>0</v>
      </c>
      <c r="K48" s="181">
        <f t="shared" si="3"/>
        <v>98341</v>
      </c>
      <c r="L48" s="195"/>
    </row>
    <row r="49" spans="1:15" x14ac:dyDescent="0.4">
      <c r="A49" s="268"/>
      <c r="B49" s="108">
        <v>15</v>
      </c>
      <c r="C49">
        <v>20911</v>
      </c>
      <c r="D49" t="str">
        <f>VLOOKUP(C49,'Project Status'!C:H,6,FALSE)</f>
        <v>BUTTRICK HALL</v>
      </c>
      <c r="E49" s="3" t="str">
        <f>VLOOKUP(C49,'Project Status'!C:I,7,FALSE)</f>
        <v>Buttrick Hall - Elevator Upgrades</v>
      </c>
      <c r="F49" s="3" t="str">
        <f>VLOOKUP(C49,'Project Status'!C:J,8,FALSE)</f>
        <v>Bidding</v>
      </c>
      <c r="G49" s="3" t="str">
        <f>VLOOKUP(C49,'Project Status'!C:K,9,FALSE)</f>
        <v>Ben Bedock</v>
      </c>
      <c r="H49" s="270"/>
      <c r="I49" s="245">
        <f>VLOOKUP(C49,'Project Status'!C:S,17,FALSE)</f>
        <v>4100</v>
      </c>
      <c r="J49" s="180">
        <f>VLOOKUP(C49,'Project Status'!C:T,18,FALSE)</f>
        <v>56945</v>
      </c>
      <c r="K49" s="181">
        <f t="shared" ref="K49:K51" si="4">IF(J49="TBD",J49,SUM(I49:J49))</f>
        <v>61045</v>
      </c>
      <c r="L49" s="195"/>
    </row>
    <row r="50" spans="1:15" x14ac:dyDescent="0.4">
      <c r="A50" s="268"/>
      <c r="B50" s="108">
        <v>16</v>
      </c>
      <c r="C50">
        <v>20912</v>
      </c>
      <c r="D50" t="str">
        <f>VLOOKUP(C50,'Project Status'!C:H,6,FALSE)</f>
        <v>BENSON OLD CENTRAL</v>
      </c>
      <c r="E50" s="3" t="str">
        <f>VLOOKUP(C50,'Project Status'!C:I,7,FALSE)</f>
        <v>Benson Hall - Elevator Upgrades</v>
      </c>
      <c r="F50" s="3" t="str">
        <f>VLOOKUP(C50,'Project Status'!C:J,8,FALSE)</f>
        <v>Bidding</v>
      </c>
      <c r="G50" s="3" t="str">
        <f>VLOOKUP(C50,'Project Status'!C:K,9,FALSE)</f>
        <v>Ben Bedock</v>
      </c>
      <c r="H50" s="270"/>
      <c r="I50" s="245">
        <f>VLOOKUP(C50,'Project Status'!C:S,17,FALSE)</f>
        <v>4100</v>
      </c>
      <c r="J50" s="180">
        <f>VLOOKUP(C50,'Project Status'!C:T,18,FALSE)</f>
        <v>55698</v>
      </c>
      <c r="K50" s="181">
        <f t="shared" si="4"/>
        <v>59798</v>
      </c>
      <c r="L50" s="195"/>
    </row>
    <row r="51" spans="1:15" ht="15" customHeight="1" x14ac:dyDescent="0.4">
      <c r="A51" s="268"/>
      <c r="B51" s="108">
        <v>17</v>
      </c>
      <c r="C51">
        <v>20913</v>
      </c>
      <c r="D51" t="str">
        <f>VLOOKUP(C51,'Project Status'!C:H,6,FALSE)</f>
        <v>WILSON HALL</v>
      </c>
      <c r="E51" s="3" t="str">
        <f>VLOOKUP(C51,'Project Status'!C:I,7,FALSE)</f>
        <v>Wilson Hall - Elevator Upgrades</v>
      </c>
      <c r="F51" s="3" t="str">
        <f>VLOOKUP(C51,'Project Status'!C:J,8,FALSE)</f>
        <v>Bidding</v>
      </c>
      <c r="G51" s="3" t="str">
        <f>VLOOKUP(C51,'Project Status'!C:K,9,FALSE)</f>
        <v>Ben Bedock</v>
      </c>
      <c r="H51" s="270"/>
      <c r="I51" s="245">
        <f>VLOOKUP(C51,'Project Status'!C:S,17,FALSE)</f>
        <v>4100</v>
      </c>
      <c r="J51" s="180">
        <f>VLOOKUP(C51,'Project Status'!C:T,18,FALSE)</f>
        <v>92512</v>
      </c>
      <c r="K51" s="181">
        <f t="shared" si="4"/>
        <v>96612</v>
      </c>
      <c r="L51" s="195"/>
    </row>
    <row r="52" spans="1:15" x14ac:dyDescent="0.4">
      <c r="A52" s="268"/>
      <c r="B52" s="108">
        <v>18</v>
      </c>
      <c r="C52">
        <v>20945</v>
      </c>
      <c r="D52" t="str">
        <f>VLOOKUP(C52,'Project Status'!C:H,6,FALSE)</f>
        <v>SEIGENTHALER CENTER</v>
      </c>
      <c r="E52" s="3" t="str">
        <f>VLOOKUP(C52,'Project Status'!C:I,7,FALSE)</f>
        <v>Seigenthaler Building - HVAC Improvements</v>
      </c>
      <c r="F52" s="3" t="str">
        <f>VLOOKUP(C52,'Project Status'!C:J,8,FALSE)</f>
        <v>Design</v>
      </c>
      <c r="G52" s="3" t="str">
        <f>VLOOKUP(C52,'Project Status'!C:K,9,FALSE)</f>
        <v>Andy Maddox</v>
      </c>
      <c r="H52" s="270"/>
      <c r="I52" s="245">
        <f>VLOOKUP(C52,'Project Status'!C:S,17,FALSE)</f>
        <v>0</v>
      </c>
      <c r="J52" s="180">
        <f>VLOOKUP(C52,'Project Status'!C:T,18,FALSE)</f>
        <v>99000</v>
      </c>
      <c r="K52" s="181">
        <f t="shared" ref="K52" si="5">IF(J52="TBD",J52,SUM(I52:J52))</f>
        <v>99000</v>
      </c>
      <c r="L52" s="195"/>
    </row>
    <row r="53" spans="1:15" x14ac:dyDescent="0.4">
      <c r="A53" s="268"/>
      <c r="H53" s="270"/>
      <c r="I53" s="245"/>
      <c r="K53" s="173"/>
      <c r="L53" s="195"/>
    </row>
    <row r="54" spans="1:15" x14ac:dyDescent="0.4">
      <c r="A54" s="268"/>
      <c r="H54" s="270"/>
      <c r="I54" s="245"/>
      <c r="K54" s="173"/>
      <c r="L54" s="195"/>
      <c r="N54" s="173"/>
    </row>
    <row r="55" spans="1:15" s="20" customFormat="1" x14ac:dyDescent="0.4">
      <c r="A55" s="268"/>
      <c r="C55" s="20">
        <v>10098</v>
      </c>
      <c r="D55" s="20" t="str">
        <f>VLOOKUP(C55,'Project Status'!C:H,6,FALSE)</f>
        <v>MRB III BIO/SCI</v>
      </c>
      <c r="E55" s="258" t="str">
        <f>VLOOKUP(C55,'Project Status'!C:I,7,FALSE)</f>
        <v>MRB III - 4th Floor - Replace Controls (Phase 2)</v>
      </c>
      <c r="F55" s="258" t="str">
        <f>VLOOKUP(C55,'Project Status'!C:J,8,FALSE)</f>
        <v>Financial Closeout</v>
      </c>
      <c r="G55" s="258" t="str">
        <f>VLOOKUP(C55,'Project Status'!C:K,9,FALSE)</f>
        <v>Hans Mooy</v>
      </c>
      <c r="H55" s="270"/>
      <c r="I55" s="259">
        <f>VLOOKUP(C55,'Project Status'!C:S,17,FALSE)</f>
        <v>-4400.96</v>
      </c>
      <c r="J55" s="260">
        <f>VLOOKUP(C55,'Project Status'!C:T,18,FALSE)</f>
        <v>0</v>
      </c>
      <c r="K55" s="261">
        <f t="shared" ref="K55:K61" si="6">IF(J55="TBD",J55,SUM(I55:J55))</f>
        <v>-4400.96</v>
      </c>
      <c r="L55" s="256"/>
      <c r="N55" s="262"/>
    </row>
    <row r="56" spans="1:15" s="20" customFormat="1" x14ac:dyDescent="0.4">
      <c r="A56" s="268"/>
      <c r="C56" s="20">
        <v>20497</v>
      </c>
      <c r="D56" s="20" t="str">
        <f>VLOOKUP(C56,'Project Status'!C:H,6,FALSE)</f>
        <v>JESUP PSYCHOLOGY</v>
      </c>
      <c r="E56" s="258" t="str">
        <f>VLOOKUP(C56,'Project Status'!C:I,7,FALSE)</f>
        <v>Jesup - Roof Replacement</v>
      </c>
      <c r="F56" s="258" t="str">
        <f>VLOOKUP(C56,'Project Status'!C:J,8,FALSE)</f>
        <v>Finalized</v>
      </c>
      <c r="G56" s="258" t="str">
        <f>VLOOKUP(C56,'Project Status'!C:K,9,FALSE)</f>
        <v>Ben Bedock</v>
      </c>
      <c r="H56" s="270"/>
      <c r="I56" s="259">
        <f>VLOOKUP(C56,'Project Status'!C:S,17,FALSE)</f>
        <v>-44850</v>
      </c>
      <c r="J56" s="260">
        <f>VLOOKUP(C56,'Project Status'!C:T,18,FALSE)</f>
        <v>0</v>
      </c>
      <c r="K56" s="261">
        <f t="shared" si="6"/>
        <v>-44850</v>
      </c>
      <c r="L56" s="256"/>
    </row>
    <row r="57" spans="1:15" s="20" customFormat="1" x14ac:dyDescent="0.4">
      <c r="A57" s="268"/>
      <c r="C57" s="20">
        <v>20506</v>
      </c>
      <c r="D57" s="20" t="str">
        <f>VLOOKUP(C57,'Project Status'!C:H,6,FALSE)</f>
        <v>WYATT CENTER</v>
      </c>
      <c r="E57" s="258" t="str">
        <f>VLOOKUP(C57,'Project Status'!C:I,7,FALSE)</f>
        <v>Wyatt Center - Window Replacement</v>
      </c>
      <c r="F57" s="258" t="str">
        <f>VLOOKUP(C57,'Project Status'!C:J,8,FALSE)</f>
        <v>Finalized</v>
      </c>
      <c r="G57" s="258" t="str">
        <f>VLOOKUP(C57,'Project Status'!C:K,9,FALSE)</f>
        <v>Ben Bedock</v>
      </c>
      <c r="H57" s="270"/>
      <c r="I57" s="259">
        <f>VLOOKUP(C57,'Project Status'!C:S,17,FALSE)</f>
        <v>-36379</v>
      </c>
      <c r="J57" s="260">
        <f>VLOOKUP(C57,'Project Status'!C:T,18,FALSE)</f>
        <v>0</v>
      </c>
      <c r="K57" s="261">
        <f t="shared" si="6"/>
        <v>-36379</v>
      </c>
      <c r="L57" s="256"/>
    </row>
    <row r="58" spans="1:15" s="20" customFormat="1" x14ac:dyDescent="0.4">
      <c r="A58" s="268"/>
      <c r="C58" s="20">
        <v>20566</v>
      </c>
      <c r="D58" s="20" t="str">
        <f>VLOOKUP(C58,'Project Status'!C:H,6,FALSE)</f>
        <v>SC CHEMISTRY</v>
      </c>
      <c r="E58" s="258" t="str">
        <f>VLOOKUP(C58,'Project Status'!C:I,7,FALSE)</f>
        <v>SC Chemistry (SC7) - Elevator 1 &amp; 2 Modernization</v>
      </c>
      <c r="F58" s="258" t="str">
        <f>VLOOKUP(C58,'Project Status'!C:J,8,FALSE)</f>
        <v>Financial Closeout</v>
      </c>
      <c r="G58" s="258" t="str">
        <f>VLOOKUP(C58,'Project Status'!C:K,9,FALSE)</f>
        <v>Ben Bedock</v>
      </c>
      <c r="H58" s="270"/>
      <c r="I58" s="259">
        <f>VLOOKUP(C58,'Project Status'!C:S,17,FALSE)</f>
        <v>-59283.32</v>
      </c>
      <c r="J58" s="260">
        <f>VLOOKUP(C58,'Project Status'!C:T,18,FALSE)</f>
        <v>0</v>
      </c>
      <c r="K58" s="261">
        <f t="shared" si="6"/>
        <v>-59283.32</v>
      </c>
      <c r="L58" s="256"/>
    </row>
    <row r="59" spans="1:15" s="20" customFormat="1" x14ac:dyDescent="0.4">
      <c r="A59" s="268"/>
      <c r="C59" s="20">
        <v>20771</v>
      </c>
      <c r="D59" s="20" t="str">
        <f>VLOOKUP(C59,'Project Status'!C:H,6,FALSE)</f>
        <v>SC CHEMISTRY</v>
      </c>
      <c r="E59" s="258" t="str">
        <f>VLOOKUP(C59,'Project Status'!C:I,7,FALSE)</f>
        <v>SC4 - Interstitial Space HVAC Modifications</v>
      </c>
      <c r="F59" s="258" t="str">
        <f>VLOOKUP(C59,'Project Status'!C:J,8,FALSE)</f>
        <v>Finalized</v>
      </c>
      <c r="G59" s="258" t="str">
        <f>VLOOKUP(C59,'Project Status'!C:K,9,FALSE)</f>
        <v>Sean Rewers</v>
      </c>
      <c r="H59" s="270"/>
      <c r="I59" s="259">
        <f>VLOOKUP(C59,'Project Status'!C:S,17,FALSE)</f>
        <v>-7025</v>
      </c>
      <c r="J59" s="260">
        <f>VLOOKUP(C59,'Project Status'!C:T,18,FALSE)</f>
        <v>0</v>
      </c>
      <c r="K59" s="261">
        <f t="shared" si="6"/>
        <v>-7025</v>
      </c>
      <c r="L59" s="257" t="s">
        <v>438</v>
      </c>
    </row>
    <row r="60" spans="1:15" s="20" customFormat="1" x14ac:dyDescent="0.4">
      <c r="A60" s="268"/>
      <c r="C60" s="20">
        <v>20702</v>
      </c>
      <c r="D60" s="20" t="str">
        <f>VLOOKUP(C60,'Project Status'!C:H,6,FALSE)</f>
        <v>WYATT CENTER</v>
      </c>
      <c r="E60" s="258" t="str">
        <f>VLOOKUP(C60,'Project Status'!C:I,7,FALSE)</f>
        <v>Wyatt Center - Elevator #2 Modernization</v>
      </c>
      <c r="F60" s="258" t="str">
        <f>VLOOKUP(C60,'Project Status'!C:J,8,FALSE)</f>
        <v>Financial Closeout</v>
      </c>
      <c r="G60" s="258" t="str">
        <f>VLOOKUP(C60,'Project Status'!C:K,9,FALSE)</f>
        <v>Ben Bedock</v>
      </c>
      <c r="H60" s="270"/>
      <c r="I60" s="259">
        <f>VLOOKUP(C60,'Project Status'!C:S,17,FALSE)</f>
        <v>-29922</v>
      </c>
      <c r="J60" s="260">
        <f>VLOOKUP(C60,'Project Status'!C:T,18,FALSE)</f>
        <v>0</v>
      </c>
      <c r="K60" s="261">
        <f t="shared" si="6"/>
        <v>-29922</v>
      </c>
      <c r="L60" s="257" t="s">
        <v>439</v>
      </c>
    </row>
    <row r="61" spans="1:15" s="20" customFormat="1" x14ac:dyDescent="0.4">
      <c r="A61" s="268"/>
      <c r="C61" s="20">
        <v>20792</v>
      </c>
      <c r="D61" s="20" t="str">
        <f>VLOOKUP(C61,'Project Status'!C:H,6,FALSE)</f>
        <v>LAW SCHOOL</v>
      </c>
      <c r="E61" s="258" t="str">
        <f>VLOOKUP(C61,'Project Status'!C:I,7,FALSE)</f>
        <v>Law School - Sections 1, 2, &amp; 3  Roof Replacement</v>
      </c>
      <c r="F61" s="258" t="str">
        <f>VLOOKUP(C61,'Project Status'!C:J,8,FALSE)</f>
        <v>Financial Closeout</v>
      </c>
      <c r="G61" s="258" t="str">
        <f>VLOOKUP(C61,'Project Status'!C:K,9,FALSE)</f>
        <v>Ben Bedock</v>
      </c>
      <c r="H61" s="270"/>
      <c r="I61" s="259">
        <f>VLOOKUP(C61,'Project Status'!C:S,17,FALSE)</f>
        <v>-32665</v>
      </c>
      <c r="J61" s="260">
        <f>VLOOKUP(C61,'Project Status'!C:T,18,FALSE)</f>
        <v>0</v>
      </c>
      <c r="K61" s="261">
        <f t="shared" si="6"/>
        <v>-32665</v>
      </c>
      <c r="L61" s="263">
        <f>L32</f>
        <v>567212.74000000022</v>
      </c>
    </row>
    <row r="62" spans="1:15" x14ac:dyDescent="0.4">
      <c r="A62" s="268"/>
      <c r="H62" s="270"/>
      <c r="K62" s="173"/>
      <c r="L62" s="195"/>
    </row>
    <row r="63" spans="1:15" x14ac:dyDescent="0.4">
      <c r="H63" s="270"/>
      <c r="I63" s="179">
        <f>SUM(I35:I62)</f>
        <v>7554249.7199999997</v>
      </c>
      <c r="J63" s="179">
        <f>SUM(J35:J62)</f>
        <v>3211739</v>
      </c>
      <c r="K63" s="179">
        <f>SUM(K35:K62)</f>
        <v>10765988.719999999</v>
      </c>
      <c r="L63" s="179">
        <f>H35-K63+L61</f>
        <v>830507.31000000052</v>
      </c>
      <c r="N63" s="173"/>
      <c r="O63" s="173"/>
    </row>
    <row r="64" spans="1:15" x14ac:dyDescent="0.4">
      <c r="I64" s="78"/>
      <c r="O64" s="173"/>
    </row>
    <row r="65" spans="1:13" x14ac:dyDescent="0.4">
      <c r="A65" s="269" t="s">
        <v>295</v>
      </c>
      <c r="B65" s="183"/>
      <c r="C65" s="183" t="s">
        <v>125</v>
      </c>
      <c r="D65" s="183" t="s">
        <v>114</v>
      </c>
      <c r="E65" s="183" t="s">
        <v>87</v>
      </c>
      <c r="F65" s="183" t="s">
        <v>128</v>
      </c>
      <c r="G65" s="183" t="s">
        <v>129</v>
      </c>
      <c r="H65" s="187" t="s">
        <v>294</v>
      </c>
      <c r="I65" s="184" t="s">
        <v>256</v>
      </c>
      <c r="J65" s="184" t="s">
        <v>292</v>
      </c>
      <c r="K65" s="193" t="s">
        <v>291</v>
      </c>
      <c r="L65" s="194" t="s">
        <v>257</v>
      </c>
    </row>
    <row r="66" spans="1:13" ht="14.7" customHeight="1" x14ac:dyDescent="0.4">
      <c r="A66" s="269"/>
      <c r="B66" s="108">
        <v>1</v>
      </c>
      <c r="C66">
        <v>20772</v>
      </c>
      <c r="D66" t="str">
        <f>VLOOKUP(C66,'Project Status'!C:H,6,FALSE)</f>
        <v>OWEN GRAD MGMT</v>
      </c>
      <c r="E66" t="str">
        <f>VLOOKUP(C66,'Project Status'!C:I,7,FALSE)</f>
        <v>OGSM Old Mechanical- Slate Roof &amp; Window Replacement</v>
      </c>
      <c r="F66" t="str">
        <f>VLOOKUP(C66,'Project Status'!C:J,8,FALSE)</f>
        <v>Award</v>
      </c>
      <c r="G66" t="str">
        <f>VLOOKUP(C66,'Project Status'!C:K,9,FALSE)</f>
        <v>Ben Bedock</v>
      </c>
      <c r="H66" s="271">
        <f>Contributions!K17</f>
        <v>12857284.462265246</v>
      </c>
      <c r="J66" s="180">
        <f>VLOOKUP(C66,'Project Status'!C:V,20,FALSE)</f>
        <v>3200000</v>
      </c>
      <c r="K66" s="181">
        <f>IF(J66="TBD",J66,SUM(I66:J66))</f>
        <v>3200000</v>
      </c>
      <c r="L66" s="197"/>
    </row>
    <row r="67" spans="1:13" x14ac:dyDescent="0.4">
      <c r="A67" s="269"/>
      <c r="B67" s="108">
        <v>2</v>
      </c>
      <c r="C67">
        <v>20577</v>
      </c>
      <c r="D67" t="str">
        <f>VLOOKUP(C67,'Project Status'!C:H,6,FALSE)</f>
        <v>BLAIR SCHOOL OF MUSIC</v>
      </c>
      <c r="E67" t="str">
        <f>VLOOKUP(C67,'Project Status'!C:I,7,FALSE)</f>
        <v>Blair School of Music - Air Handling Unit Replacement -Phase 1</v>
      </c>
      <c r="F67" t="str">
        <f>VLOOKUP(C67,'Project Status'!C:J,8,FALSE)</f>
        <v>Bidding</v>
      </c>
      <c r="G67" t="str">
        <f>VLOOKUP(C67,'Project Status'!C:K,9,FALSE)</f>
        <v>Hans Mooy</v>
      </c>
      <c r="H67" s="271"/>
      <c r="J67" s="180">
        <f>VLOOKUP(C67,'Project Status'!C:V,20,FALSE)</f>
        <v>1500000</v>
      </c>
      <c r="K67" s="181">
        <f t="shared" ref="K67" si="7">IF(J67="TBD",J67,SUM(I67:J67))</f>
        <v>1500000</v>
      </c>
      <c r="L67" s="197"/>
      <c r="M67" s="20" t="s">
        <v>368</v>
      </c>
    </row>
    <row r="68" spans="1:13" x14ac:dyDescent="0.4">
      <c r="A68" s="269"/>
      <c r="B68" s="108">
        <v>3</v>
      </c>
      <c r="C68">
        <v>20723</v>
      </c>
      <c r="D68" t="str">
        <f>VLOOKUP(C68,'Project Status'!C:H,6,FALSE)</f>
        <v>MRB III BIO/SCI</v>
      </c>
      <c r="E68" t="str">
        <f>VLOOKUP(C68,'Project Status'!C:I,7,FALSE)</f>
        <v>MRB III - 9th Floor (with 4 ,5 &amp; 8) - Replace Controls (Phase 3)</v>
      </c>
      <c r="F68" t="str">
        <f>VLOOKUP(C68,'Project Status'!C:J,8,FALSE)</f>
        <v>Award</v>
      </c>
      <c r="G68" t="str">
        <f>VLOOKUP(C68,'Project Status'!C:K,9,FALSE)</f>
        <v>Andy Maddox</v>
      </c>
      <c r="H68" s="271"/>
      <c r="J68" s="180" t="str">
        <f>VLOOKUP(C68,'Project Status'!C:V,20,FALSE)</f>
        <v>TBD</v>
      </c>
      <c r="K68" s="181" t="str">
        <f t="shared" ref="K68" si="8">IF(J68="TBD",J68,SUM(I68:J68))</f>
        <v>TBD</v>
      </c>
      <c r="L68" s="197"/>
    </row>
    <row r="69" spans="1:13" x14ac:dyDescent="0.4">
      <c r="A69" s="269"/>
      <c r="B69" s="108">
        <v>4</v>
      </c>
      <c r="C69">
        <v>20668</v>
      </c>
      <c r="D69" t="str">
        <f>VLOOKUP(C69,'Project Status'!C:H,6,FALSE)</f>
        <v>KECK FREE ELECTRON LASER CTR</v>
      </c>
      <c r="E69" t="str">
        <f>VLOOKUP(C69,'Project Status'!C:I,7,FALSE)</f>
        <v>Keck FEL - Mechanical Upgrades</v>
      </c>
      <c r="F69" t="str">
        <f>VLOOKUP(C69,'Project Status'!C:J,8,FALSE)</f>
        <v>Design</v>
      </c>
      <c r="G69" t="str">
        <f>VLOOKUP(C69,'Project Status'!C:K,9,FALSE)</f>
        <v>Sean Rewers</v>
      </c>
      <c r="H69" s="271"/>
      <c r="J69" s="180" t="str">
        <f>VLOOKUP(C69,'Project Status'!C:V,20,FALSE)</f>
        <v>TBD</v>
      </c>
      <c r="K69" s="181" t="str">
        <f t="shared" ref="K69" si="9">IF(J69="TBD",J69,SUM(I69:J69))</f>
        <v>TBD</v>
      </c>
      <c r="L69" s="197"/>
    </row>
    <row r="70" spans="1:13" x14ac:dyDescent="0.4">
      <c r="A70" s="269"/>
      <c r="B70" s="108">
        <v>5</v>
      </c>
      <c r="C70">
        <v>20767</v>
      </c>
      <c r="D70" t="str">
        <f>VLOOKUP(C70,'Project Status'!C:H,6,FALSE)</f>
        <v>SIX MAGNOLIA CIRCLE</v>
      </c>
      <c r="E70" t="str">
        <f>VLOOKUP(C70,'Project Status'!C:I,7,FALSE)</f>
        <v>Six Magnolia Circle - Foundation Repairs</v>
      </c>
      <c r="F70" t="str">
        <f>VLOOKUP(C70,'Project Status'!C:J,8,FALSE)</f>
        <v>Bidding</v>
      </c>
      <c r="G70" t="str">
        <f>VLOOKUP(C70,'Project Status'!C:K,9,FALSE)</f>
        <v>Jay Surprenant</v>
      </c>
      <c r="H70" s="271"/>
      <c r="J70" s="180" t="str">
        <f>VLOOKUP(C70,'Project Status'!C:V,20,FALSE)</f>
        <v>TBD</v>
      </c>
      <c r="K70" s="181" t="str">
        <f t="shared" ref="K70" si="10">IF(J70="TBD",J70,SUM(I70:J70))</f>
        <v>TBD</v>
      </c>
      <c r="L70" s="197"/>
    </row>
    <row r="71" spans="1:13" x14ac:dyDescent="0.4">
      <c r="A71" s="269"/>
      <c r="B71" s="108">
        <v>6</v>
      </c>
      <c r="C71">
        <v>20924</v>
      </c>
      <c r="D71" t="str">
        <f>VLOOKUP(C71,'Project Status'!C:H,6,FALSE)</f>
        <v>FRIST HALL</v>
      </c>
      <c r="E71" t="str">
        <f>VLOOKUP(C71,'Project Status'!C:I,7,FALSE)</f>
        <v>Frist Hall - Stairwell Roof Replacement</v>
      </c>
      <c r="F71" t="str">
        <f>VLOOKUP(C71,'Project Status'!C:J,8,FALSE)</f>
        <v>Programming or Planning</v>
      </c>
      <c r="G71" t="str">
        <f>VLOOKUP(C71,'Project Status'!C:K,9,FALSE)</f>
        <v>Ben Bedock</v>
      </c>
      <c r="H71" s="271"/>
      <c r="J71" s="180">
        <f>VLOOKUP(C71,'Project Status'!C:V,20,FALSE)</f>
        <v>0</v>
      </c>
      <c r="K71" s="181">
        <f t="shared" ref="K71:K75" si="11">IF(J71="TBD",J71,SUM(I71:J71))</f>
        <v>0</v>
      </c>
      <c r="L71" s="197"/>
    </row>
    <row r="72" spans="1:13" x14ac:dyDescent="0.4">
      <c r="A72" s="269"/>
      <c r="B72" s="108">
        <v>7</v>
      </c>
      <c r="C72">
        <v>20925</v>
      </c>
      <c r="D72" t="str">
        <f>VLOOKUP(C72,'Project Status'!C:H,6,FALSE)</f>
        <v>BLAIR SCHOOL OF MUSIC</v>
      </c>
      <c r="E72" t="str">
        <f>VLOOKUP(C72,'Project Status'!C:I,7,FALSE)</f>
        <v>Blair School of Music - AHU 2/3 Replacement  - Phase 2 - FY26</v>
      </c>
      <c r="F72" t="str">
        <f>VLOOKUP(C72,'Project Status'!C:J,8,FALSE)</f>
        <v>Not Started</v>
      </c>
      <c r="G72" t="str">
        <f>VLOOKUP(C72,'Project Status'!C:K,9,FALSE)</f>
        <v>Hans Mooy</v>
      </c>
      <c r="H72" s="271"/>
      <c r="J72" s="180">
        <f>VLOOKUP(C72,'Project Status'!C:V,20,FALSE)</f>
        <v>0</v>
      </c>
      <c r="K72" s="181">
        <f t="shared" si="11"/>
        <v>0</v>
      </c>
      <c r="L72" s="197"/>
    </row>
    <row r="73" spans="1:13" x14ac:dyDescent="0.4">
      <c r="A73" s="269"/>
      <c r="B73" s="108">
        <v>8</v>
      </c>
      <c r="C73">
        <v>20934</v>
      </c>
      <c r="D73" t="str">
        <f>VLOOKUP(C73,'Project Status'!C:H,6,FALSE)</f>
        <v>NEELY AUDITORIUM</v>
      </c>
      <c r="E73" t="str">
        <f>VLOOKUP(C73,'Project Status'!C:I,7,FALSE)</f>
        <v>Neely Auditorium - MEP Feasibility Study</v>
      </c>
      <c r="F73" t="str">
        <f>VLOOKUP(C73,'Project Status'!C:J,8,FALSE)</f>
        <v>Not Started</v>
      </c>
      <c r="G73" t="str">
        <f>VLOOKUP(C73,'Project Status'!C:K,9,FALSE)</f>
        <v>Sean Rewers</v>
      </c>
      <c r="H73" s="271"/>
      <c r="J73" s="180">
        <f>VLOOKUP(C73,'Project Status'!C:V,20,FALSE)</f>
        <v>0</v>
      </c>
      <c r="K73" s="181">
        <f t="shared" si="11"/>
        <v>0</v>
      </c>
      <c r="L73" s="197"/>
    </row>
    <row r="74" spans="1:13" x14ac:dyDescent="0.4">
      <c r="A74" s="269"/>
      <c r="B74" s="108">
        <v>9</v>
      </c>
      <c r="C74">
        <v>20936</v>
      </c>
      <c r="D74" t="str">
        <f>VLOOKUP(C74,'Project Status'!C:H,6,FALSE)</f>
        <v>WILSON HALL</v>
      </c>
      <c r="E74" t="str">
        <f>VLOOKUP(C74,'Project Status'!C:I,7,FALSE)</f>
        <v>Wilson Hall - Lighting Retrofit for 103 and 126</v>
      </c>
      <c r="F74" t="str">
        <f>VLOOKUP(C74,'Project Status'!C:J,8,FALSE)</f>
        <v>Not Started</v>
      </c>
      <c r="G74" t="str">
        <f>VLOOKUP(C74,'Project Status'!C:K,9,FALSE)</f>
        <v>Jay Surprenant</v>
      </c>
      <c r="H74" s="271"/>
      <c r="J74" s="180">
        <f>VLOOKUP(C74,'Project Status'!C:V,20,FALSE)</f>
        <v>0</v>
      </c>
      <c r="K74" s="181">
        <f t="shared" si="11"/>
        <v>0</v>
      </c>
      <c r="L74" s="197"/>
    </row>
    <row r="75" spans="1:13" x14ac:dyDescent="0.4">
      <c r="A75" s="269"/>
      <c r="B75" s="108">
        <v>10</v>
      </c>
      <c r="C75">
        <v>20940</v>
      </c>
      <c r="D75" t="str">
        <f>VLOOKUP(C75,'Project Status'!C:H,6,FALSE)</f>
        <v>1025 16TH AVE S</v>
      </c>
      <c r="E75" t="str">
        <f>VLOOKUP(C75,'Project Status'!C:I,7,FALSE)</f>
        <v>1025 16th Avenue - Security System Replacement</v>
      </c>
      <c r="F75" t="str">
        <f>VLOOKUP(C75,'Project Status'!C:J,8,FALSE)</f>
        <v>Not Started</v>
      </c>
      <c r="G75" t="str">
        <f>VLOOKUP(C75,'Project Status'!C:K,9,FALSE)</f>
        <v>Sean Rewers</v>
      </c>
      <c r="H75" s="271"/>
      <c r="J75" s="180">
        <f>VLOOKUP(C75,'Project Status'!C:V,20,FALSE)</f>
        <v>0</v>
      </c>
      <c r="K75" s="181">
        <f t="shared" si="11"/>
        <v>0</v>
      </c>
      <c r="L75" s="197"/>
    </row>
    <row r="76" spans="1:13" x14ac:dyDescent="0.4">
      <c r="A76" s="269"/>
      <c r="B76" s="108">
        <v>11</v>
      </c>
      <c r="C76">
        <v>20945</v>
      </c>
      <c r="D76" t="str">
        <f>VLOOKUP(C76,'Project Status'!C:H,6,FALSE)</f>
        <v>SEIGENTHALER CENTER</v>
      </c>
      <c r="E76" t="str">
        <f>VLOOKUP(C76,'Project Status'!C:I,7,FALSE)</f>
        <v>Seigenthaler Building - HVAC Improvements</v>
      </c>
      <c r="F76" t="str">
        <f>VLOOKUP(C76,'Project Status'!C:J,8,FALSE)</f>
        <v>Design</v>
      </c>
      <c r="G76" t="str">
        <f>VLOOKUP(C76,'Project Status'!C:K,9,FALSE)</f>
        <v>Andy Maddox</v>
      </c>
      <c r="H76" s="271"/>
      <c r="J76" s="180" t="str">
        <f>VLOOKUP(C76,'Project Status'!C:V,20,FALSE)</f>
        <v>TBD</v>
      </c>
      <c r="K76" s="181" t="str">
        <f t="shared" ref="K76" si="12">IF(J76="TBD",J76,SUM(I76:J76))</f>
        <v>TBD</v>
      </c>
      <c r="L76" s="197"/>
    </row>
    <row r="77" spans="1:13" x14ac:dyDescent="0.4">
      <c r="A77" s="269"/>
      <c r="H77" s="271"/>
      <c r="K77" s="173"/>
      <c r="L77" s="197"/>
    </row>
    <row r="78" spans="1:13" x14ac:dyDescent="0.4">
      <c r="A78" s="269"/>
      <c r="H78" s="271"/>
      <c r="K78" s="173"/>
      <c r="L78" s="197"/>
    </row>
    <row r="79" spans="1:13" x14ac:dyDescent="0.4">
      <c r="A79" s="269"/>
      <c r="H79" s="271"/>
      <c r="K79" s="173"/>
      <c r="L79" s="197"/>
    </row>
    <row r="80" spans="1:13" x14ac:dyDescent="0.4">
      <c r="A80" s="269"/>
      <c r="H80" s="271"/>
      <c r="K80" s="173"/>
      <c r="L80" s="197"/>
    </row>
    <row r="81" spans="1:13" x14ac:dyDescent="0.4">
      <c r="A81" s="269"/>
      <c r="H81" s="271"/>
      <c r="K81" s="173"/>
      <c r="L81" s="197"/>
    </row>
    <row r="82" spans="1:13" ht="14.7" customHeight="1" x14ac:dyDescent="0.4">
      <c r="A82" s="269"/>
      <c r="H82" s="271"/>
      <c r="K82" s="173"/>
      <c r="L82" s="197"/>
    </row>
    <row r="83" spans="1:13" x14ac:dyDescent="0.4">
      <c r="A83" s="269"/>
      <c r="H83" s="271"/>
      <c r="K83" s="173"/>
      <c r="L83" s="197"/>
    </row>
    <row r="84" spans="1:13" x14ac:dyDescent="0.4">
      <c r="H84" s="271"/>
      <c r="I84" s="182">
        <f>SUM(I66:I83)</f>
        <v>0</v>
      </c>
      <c r="J84" s="182">
        <f>SUM(J66:J83)</f>
        <v>4700000</v>
      </c>
      <c r="K84" s="182">
        <f>SUM(K66:K83)</f>
        <v>4700000</v>
      </c>
      <c r="L84" s="182">
        <f>H66-K84</f>
        <v>8157284.4622652456</v>
      </c>
    </row>
    <row r="86" spans="1:13" x14ac:dyDescent="0.4">
      <c r="A86" s="265" t="s">
        <v>352</v>
      </c>
      <c r="B86" s="218"/>
      <c r="C86" s="218" t="s">
        <v>125</v>
      </c>
      <c r="D86" s="218" t="s">
        <v>114</v>
      </c>
      <c r="E86" s="218" t="s">
        <v>87</v>
      </c>
      <c r="F86" s="218" t="s">
        <v>128</v>
      </c>
      <c r="G86" s="218" t="s">
        <v>129</v>
      </c>
      <c r="H86" s="216" t="s">
        <v>294</v>
      </c>
      <c r="I86" s="219" t="s">
        <v>256</v>
      </c>
      <c r="J86" s="219" t="s">
        <v>292</v>
      </c>
      <c r="K86" s="220" t="s">
        <v>291</v>
      </c>
      <c r="L86" s="217" t="s">
        <v>257</v>
      </c>
    </row>
    <row r="87" spans="1:13" ht="14.7" customHeight="1" x14ac:dyDescent="0.4">
      <c r="A87" s="265"/>
      <c r="B87" s="108">
        <v>1</v>
      </c>
      <c r="C87">
        <v>20489</v>
      </c>
      <c r="D87" t="str">
        <f>VLOOKUP(C87,'Project Status'!C:H,6,FALSE)</f>
        <v>DIVINITY</v>
      </c>
      <c r="E87" t="str">
        <f>VLOOKUP(C87,'Project Status'!C:I,7,FALSE)</f>
        <v>Divinity Air Handling Unit Replacement, (1/3) - Phase 2 with Benton</v>
      </c>
      <c r="F87" t="str">
        <f>VLOOKUP(C87,'Project Status'!C:J,8,FALSE)</f>
        <v>Not Started</v>
      </c>
      <c r="G87" t="str">
        <f>VLOOKUP(C87,'Project Status'!C:K,9,FALSE)</f>
        <v>Hans Mooy</v>
      </c>
      <c r="H87" s="264">
        <f>Contributions!K41</f>
        <v>0</v>
      </c>
      <c r="J87" s="180">
        <f>VLOOKUP(C87,'Project Status'!C:W,21,FALSE)</f>
        <v>3170000</v>
      </c>
      <c r="K87" s="181">
        <f>IF(J87="TBD",J87,SUM(I87:J87))</f>
        <v>3170000</v>
      </c>
      <c r="L87" s="55"/>
      <c r="M87" s="20" t="s">
        <v>367</v>
      </c>
    </row>
    <row r="88" spans="1:13" x14ac:dyDescent="0.4">
      <c r="A88" s="265"/>
      <c r="B88" s="108">
        <v>2</v>
      </c>
      <c r="C88">
        <v>20577</v>
      </c>
      <c r="D88" t="str">
        <f>VLOOKUP(C88,'Project Status'!C:H,6,FALSE)</f>
        <v>BLAIR SCHOOL OF MUSIC</v>
      </c>
      <c r="E88" t="str">
        <f>VLOOKUP(C88,'Project Status'!C:I,7,FALSE)</f>
        <v>Blair School of Music - Air Handling Unit Replacement -Phase 1</v>
      </c>
      <c r="F88" t="str">
        <f>VLOOKUP(C88,'Project Status'!C:J,8,FALSE)</f>
        <v>Bidding</v>
      </c>
      <c r="G88" t="str">
        <f>VLOOKUP(C88,'Project Status'!C:K,9,FALSE)</f>
        <v>Hans Mooy</v>
      </c>
      <c r="H88" s="264"/>
      <c r="J88" s="180">
        <f>VLOOKUP(C88,'Project Status'!C:W,21,FALSE)</f>
        <v>2510000</v>
      </c>
      <c r="K88" s="181">
        <f>IF(J88="TBD",J88,SUM(I88:J88))</f>
        <v>2510000</v>
      </c>
      <c r="L88" s="55"/>
      <c r="M88" s="20" t="s">
        <v>367</v>
      </c>
    </row>
    <row r="89" spans="1:13" x14ac:dyDescent="0.4">
      <c r="A89" s="265"/>
      <c r="B89" s="108">
        <v>3</v>
      </c>
      <c r="C89">
        <v>20563</v>
      </c>
      <c r="D89" t="str">
        <f>VLOOKUP(C89,'Project Status'!C:H,6,FALSE)</f>
        <v>KECK FREE ELECTRON LASER CTR</v>
      </c>
      <c r="E89" t="str">
        <f>VLOOKUP(C89,'Project Status'!C:I,7,FALSE)</f>
        <v>Keck FEL - Roof Replacement</v>
      </c>
      <c r="F89" t="str">
        <f>VLOOKUP(C89,'Project Status'!C:J,8,FALSE)</f>
        <v>Not Started</v>
      </c>
      <c r="G89" t="str">
        <f>VLOOKUP(C89,'Project Status'!C:K,9,FALSE)</f>
        <v>Ben Bedock</v>
      </c>
      <c r="H89" s="264"/>
      <c r="J89" s="180" t="str">
        <f>VLOOKUP(C89,'Project Status'!C:W,21,FALSE)</f>
        <v>TBD</v>
      </c>
      <c r="K89" s="181" t="str">
        <f>IF(J89="TBD",J89,SUM(I89:J89))</f>
        <v>TBD</v>
      </c>
      <c r="L89" s="55"/>
    </row>
    <row r="90" spans="1:13" x14ac:dyDescent="0.4">
      <c r="A90" s="265"/>
      <c r="B90" s="108"/>
      <c r="H90" s="264"/>
      <c r="J90" s="180"/>
      <c r="K90" s="181"/>
      <c r="L90" s="55"/>
    </row>
    <row r="91" spans="1:13" x14ac:dyDescent="0.4">
      <c r="A91" s="265"/>
      <c r="H91" s="264"/>
      <c r="J91" s="180"/>
      <c r="K91" s="181"/>
      <c r="L91" s="55"/>
    </row>
    <row r="92" spans="1:13" x14ac:dyDescent="0.4">
      <c r="A92" s="265"/>
      <c r="H92" s="264"/>
      <c r="J92" s="180"/>
      <c r="K92" s="181"/>
      <c r="L92" s="55"/>
    </row>
    <row r="93" spans="1:13" x14ac:dyDescent="0.4">
      <c r="A93" s="265"/>
      <c r="H93" s="264"/>
      <c r="J93" s="180"/>
      <c r="K93" s="181"/>
      <c r="L93" s="55"/>
    </row>
    <row r="94" spans="1:13" x14ac:dyDescent="0.4">
      <c r="A94" s="265"/>
      <c r="H94" s="264"/>
      <c r="J94" s="180"/>
      <c r="K94" s="181"/>
      <c r="L94" s="55"/>
    </row>
    <row r="95" spans="1:13" x14ac:dyDescent="0.4">
      <c r="A95" s="265"/>
      <c r="H95" s="264"/>
      <c r="J95" s="180"/>
      <c r="K95" s="181"/>
      <c r="L95" s="55"/>
    </row>
    <row r="96" spans="1:13" x14ac:dyDescent="0.4">
      <c r="A96" s="265"/>
      <c r="H96" s="264"/>
      <c r="J96" s="180"/>
      <c r="K96" s="181"/>
      <c r="L96" s="55"/>
    </row>
    <row r="97" spans="1:12" x14ac:dyDescent="0.4">
      <c r="A97" s="265"/>
      <c r="H97" s="264"/>
      <c r="K97" s="173"/>
      <c r="L97" s="55"/>
    </row>
    <row r="98" spans="1:12" x14ac:dyDescent="0.4">
      <c r="A98" s="265"/>
      <c r="H98" s="264"/>
      <c r="K98" s="173"/>
      <c r="L98" s="55"/>
    </row>
    <row r="99" spans="1:12" x14ac:dyDescent="0.4">
      <c r="A99" s="265"/>
      <c r="H99" s="264"/>
      <c r="K99" s="173"/>
      <c r="L99" s="55"/>
    </row>
    <row r="100" spans="1:12" x14ac:dyDescent="0.4">
      <c r="A100" s="265"/>
      <c r="H100" s="264"/>
      <c r="K100" s="173"/>
      <c r="L100" s="55"/>
    </row>
    <row r="101" spans="1:12" x14ac:dyDescent="0.4">
      <c r="A101" s="265"/>
      <c r="H101" s="264"/>
      <c r="K101" s="173"/>
      <c r="L101" s="55"/>
    </row>
    <row r="102" spans="1:12" x14ac:dyDescent="0.4">
      <c r="A102" s="265"/>
      <c r="H102" s="264"/>
      <c r="K102" s="173"/>
      <c r="L102" s="55"/>
    </row>
    <row r="103" spans="1:12" x14ac:dyDescent="0.4">
      <c r="A103" s="265"/>
      <c r="H103" s="264"/>
      <c r="K103" s="173"/>
      <c r="L103" s="55"/>
    </row>
    <row r="104" spans="1:12" x14ac:dyDescent="0.4">
      <c r="A104" s="265"/>
      <c r="H104" s="264"/>
      <c r="K104" s="173"/>
      <c r="L104" s="55"/>
    </row>
    <row r="105" spans="1:12" x14ac:dyDescent="0.4">
      <c r="A105" s="265"/>
      <c r="H105" s="264"/>
      <c r="K105" s="173"/>
      <c r="L105" s="55"/>
    </row>
    <row r="106" spans="1:12" ht="14.7" customHeight="1" x14ac:dyDescent="0.4">
      <c r="A106" s="265"/>
      <c r="H106" s="264"/>
      <c r="K106" s="173"/>
      <c r="L106" s="55"/>
    </row>
    <row r="107" spans="1:12" x14ac:dyDescent="0.4">
      <c r="A107" s="265"/>
      <c r="H107" s="264"/>
      <c r="K107" s="173"/>
      <c r="L107" s="55"/>
    </row>
    <row r="108" spans="1:12" x14ac:dyDescent="0.4">
      <c r="H108" s="264"/>
      <c r="I108" s="215">
        <f t="shared" ref="I108" si="13">SUM(I87:I107)</f>
        <v>0</v>
      </c>
      <c r="J108" s="215">
        <f t="shared" ref="J108" si="14">SUM(J87:J107)</f>
        <v>5680000</v>
      </c>
      <c r="K108" s="215">
        <f>SUM(K87:K107)</f>
        <v>5680000</v>
      </c>
      <c r="L108" s="215">
        <f>H87-K108</f>
        <v>-5680000</v>
      </c>
    </row>
  </sheetData>
  <mergeCells count="8">
    <mergeCell ref="H87:H108"/>
    <mergeCell ref="A86:A107"/>
    <mergeCell ref="H3:H32"/>
    <mergeCell ref="A2:A31"/>
    <mergeCell ref="A34:A62"/>
    <mergeCell ref="A65:A83"/>
    <mergeCell ref="H35:H63"/>
    <mergeCell ref="H66:H84"/>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4</vt:i4>
      </vt:variant>
    </vt:vector>
  </HeadingPairs>
  <TitlesOfParts>
    <vt:vector size="55" baseType="lpstr">
      <vt:lpstr>Guidance</vt:lpstr>
      <vt:lpstr>Summary_for Web-1</vt:lpstr>
      <vt:lpstr>Summary_for Web-2</vt:lpstr>
      <vt:lpstr>Contributions</vt:lpstr>
      <vt:lpstr>Shared Building Allocation</vt:lpstr>
      <vt:lpstr>Summary_by School</vt:lpstr>
      <vt:lpstr>Summary_by Phase</vt:lpstr>
      <vt:lpstr>Project Status</vt:lpstr>
      <vt:lpstr>Summary_by FY</vt:lpstr>
      <vt:lpstr>10085</vt:lpstr>
      <vt:lpstr>10098</vt:lpstr>
      <vt:lpstr>10146</vt:lpstr>
      <vt:lpstr>20179</vt:lpstr>
      <vt:lpstr>20336</vt:lpstr>
      <vt:lpstr>20431</vt:lpstr>
      <vt:lpstr>20478</vt:lpstr>
      <vt:lpstr>20489</vt:lpstr>
      <vt:lpstr>20497</vt:lpstr>
      <vt:lpstr>20506</vt:lpstr>
      <vt:lpstr>20562</vt:lpstr>
      <vt:lpstr>20566</vt:lpstr>
      <vt:lpstr>20573</vt:lpstr>
      <vt:lpstr>20574</vt:lpstr>
      <vt:lpstr>20577</vt:lpstr>
      <vt:lpstr>20644</vt:lpstr>
      <vt:lpstr>20645</vt:lpstr>
      <vt:lpstr>20667</vt:lpstr>
      <vt:lpstr>20668</vt:lpstr>
      <vt:lpstr>20698</vt:lpstr>
      <vt:lpstr>20700</vt:lpstr>
      <vt:lpstr>20701</vt:lpstr>
      <vt:lpstr>20702</vt:lpstr>
      <vt:lpstr>20718</vt:lpstr>
      <vt:lpstr>20723</vt:lpstr>
      <vt:lpstr>20724</vt:lpstr>
      <vt:lpstr>20735</vt:lpstr>
      <vt:lpstr>20771</vt:lpstr>
      <vt:lpstr>20792</vt:lpstr>
      <vt:lpstr>20831</vt:lpstr>
      <vt:lpstr>20832</vt:lpstr>
      <vt:lpstr>20833</vt:lpstr>
      <vt:lpstr>20857</vt:lpstr>
      <vt:lpstr>20885</vt:lpstr>
      <vt:lpstr>20911</vt:lpstr>
      <vt:lpstr>20912</vt:lpstr>
      <vt:lpstr>20913</vt:lpstr>
      <vt:lpstr>JE LOG_FY23</vt:lpstr>
      <vt:lpstr>JE LOG_FY24</vt:lpstr>
      <vt:lpstr>lookup</vt:lpstr>
      <vt:lpstr>PUC GSF</vt:lpstr>
      <vt:lpstr>Notes</vt:lpstr>
      <vt:lpstr>JE</vt:lpstr>
      <vt:lpstr>'JE LOG_FY24'!list</vt:lpstr>
      <vt:lpstr>list</vt:lpstr>
      <vt:lpstr>'Shared Building Allocation'!Print_Area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Crowhurst, Stacey</cp:lastModifiedBy>
  <cp:lastPrinted>2024-03-08T16:53:51Z</cp:lastPrinted>
  <dcterms:created xsi:type="dcterms:W3CDTF">2021-08-31T18:33:23Z</dcterms:created>
  <dcterms:modified xsi:type="dcterms:W3CDTF">2024-03-08T16:54:15Z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