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ivotTables/pivotTable2.xml" ContentType="application/vnd.openxmlformats-officedocument.spreadsheetml.pivot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FandA\8-Facility_Renewal\Reporting\Reports\FY24\"/>
    </mc:Choice>
  </mc:AlternateContent>
  <xr:revisionPtr revIDLastSave="0" documentId="8_{4F89FECB-CDC6-4E51-A45D-E56B5DA16579}" xr6:coauthVersionLast="47" xr6:coauthVersionMax="47" xr10:uidLastSave="{00000000-0000-0000-0000-000000000000}"/>
  <bookViews>
    <workbookView xWindow="-24120" yWindow="-120" windowWidth="24240" windowHeight="13140" tabRatio="894" activeTab="6" xr2:uid="{382D63A7-A064-43C4-BB7D-7DDF2E98A281}"/>
  </bookViews>
  <sheets>
    <sheet name="Guidance" sheetId="47" r:id="rId1"/>
    <sheet name="Summary_for Web-1" sheetId="18" r:id="rId2"/>
    <sheet name="Summary_for Web-2" sheetId="17" r:id="rId3"/>
    <sheet name="Summary_by School" sheetId="9" r:id="rId4"/>
    <sheet name="Shared Building Allocation" sheetId="8" r:id="rId5"/>
    <sheet name="Contributions" sheetId="7" r:id="rId6"/>
    <sheet name="Project Status" sheetId="3" r:id="rId7"/>
    <sheet name="Summary_by FY" sheetId="41" r:id="rId8"/>
    <sheet name="Summary_by Phase" sheetId="49" r:id="rId9"/>
    <sheet name="10085" sheetId="24" state="hidden" r:id="rId10"/>
    <sheet name="10098" sheetId="10" state="hidden" r:id="rId11"/>
    <sheet name="10146" sheetId="29" r:id="rId12"/>
    <sheet name="20179" sheetId="12" r:id="rId13"/>
    <sheet name="20336" sheetId="15" r:id="rId14"/>
    <sheet name="20431" sheetId="20" r:id="rId15"/>
    <sheet name="20478" sheetId="34" r:id="rId16"/>
    <sheet name="Sheet1" sheetId="54" r:id="rId17"/>
    <sheet name="20489" sheetId="35" r:id="rId18"/>
    <sheet name="20497" sheetId="13" state="hidden" r:id="rId19"/>
    <sheet name="20506" sheetId="38" state="hidden" r:id="rId20"/>
    <sheet name="20562" sheetId="32" r:id="rId21"/>
    <sheet name="20566" sheetId="14" r:id="rId22"/>
    <sheet name="20573" sheetId="36" r:id="rId23"/>
    <sheet name="20574" sheetId="21" r:id="rId24"/>
    <sheet name="20577" sheetId="16" r:id="rId25"/>
    <sheet name="20644" sheetId="31" r:id="rId26"/>
    <sheet name="20645" sheetId="46" r:id="rId27"/>
    <sheet name="20667" sheetId="19" r:id="rId28"/>
    <sheet name="20668" sheetId="22" r:id="rId29"/>
    <sheet name="20698" sheetId="27" r:id="rId30"/>
    <sheet name="20700" sheetId="30" r:id="rId31"/>
    <sheet name="20701" sheetId="39" r:id="rId32"/>
    <sheet name="20702" sheetId="26" r:id="rId33"/>
    <sheet name="20718" sheetId="44" r:id="rId34"/>
    <sheet name="20723" sheetId="37" r:id="rId35"/>
    <sheet name="20724" sheetId="33" r:id="rId36"/>
    <sheet name="20735" sheetId="42" r:id="rId37"/>
    <sheet name="20771" sheetId="40" state="hidden" r:id="rId38"/>
    <sheet name="20792" sheetId="45" r:id="rId39"/>
    <sheet name="20831" sheetId="51" r:id="rId40"/>
    <sheet name="20832" sheetId="50" r:id="rId41"/>
    <sheet name="20833" sheetId="52" r:id="rId42"/>
    <sheet name="20857" sheetId="53" r:id="rId43"/>
    <sheet name="20911" sheetId="56" r:id="rId44"/>
    <sheet name="20912" sheetId="55" r:id="rId45"/>
    <sheet name="20913" sheetId="57" r:id="rId46"/>
    <sheet name="JE LOG_FY23" sheetId="11" r:id="rId47"/>
    <sheet name="JE LOG_FY24" sheetId="48" r:id="rId48"/>
    <sheet name="lookup" sheetId="25" r:id="rId49"/>
    <sheet name="PUC GSF" sheetId="1" state="hidden" r:id="rId50"/>
    <sheet name="Notes" sheetId="6" state="hidden" r:id="rId51"/>
  </sheets>
  <definedNames>
    <definedName name="_xlnm._FilterDatabase" localSheetId="6" hidden="1">'Project Status'!$A$3:$P$47</definedName>
    <definedName name="JE">'10098'!$E$9:$H$12</definedName>
    <definedName name="list" localSheetId="47">'JE LOG_FY24'!$T:$T</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0" r:id="rId52"/>
  </pivotCaches>
  <extLst>
    <ext xmlns:x14="http://schemas.microsoft.com/office/spreadsheetml/2009/9/main" uri="{BBE1A952-AA13-448e-AADC-164F8A28A991}">
      <x14:slicerCaches>
        <x14:slicerCache r:id="rId53"/>
        <x14:slicerCache r:id="rId54"/>
        <x14:slicerCache r:id="rId55"/>
        <x14:slicerCache r:id="rId56"/>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2" i="3" l="1"/>
  <c r="U43" i="3"/>
  <c r="U44" i="3"/>
  <c r="U45" i="3"/>
  <c r="U46" i="3"/>
  <c r="I49" i="41"/>
  <c r="J49" i="41"/>
  <c r="K49" i="41" s="1"/>
  <c r="I50" i="41"/>
  <c r="J50" i="41"/>
  <c r="K50" i="41" s="1"/>
  <c r="I51" i="41"/>
  <c r="J51" i="41"/>
  <c r="K51" i="41" s="1"/>
  <c r="T45" i="3"/>
  <c r="T44" i="3"/>
  <c r="T43" i="3"/>
  <c r="D49" i="41"/>
  <c r="E49" i="41"/>
  <c r="F49" i="41"/>
  <c r="G49" i="41"/>
  <c r="D50" i="41"/>
  <c r="E50" i="41"/>
  <c r="F50" i="41"/>
  <c r="G50" i="41"/>
  <c r="D51" i="41"/>
  <c r="E51" i="41"/>
  <c r="F51" i="41"/>
  <c r="G51" i="41"/>
  <c r="W47" i="3"/>
  <c r="V47" i="3"/>
  <c r="S47" i="3"/>
  <c r="R47" i="3"/>
  <c r="Q47" i="3"/>
  <c r="P47" i="3"/>
  <c r="O47" i="3"/>
  <c r="N47" i="3"/>
  <c r="M47" i="3"/>
  <c r="L47" i="3"/>
  <c r="T47" i="3"/>
  <c r="T46" i="3"/>
  <c r="H18" i="57"/>
  <c r="H4" i="57"/>
  <c r="H20" i="57" s="1"/>
  <c r="G4" i="57"/>
  <c r="F4" i="57"/>
  <c r="E4" i="57"/>
  <c r="D4" i="57"/>
  <c r="C4" i="57"/>
  <c r="B4" i="57"/>
  <c r="H18" i="56"/>
  <c r="H4" i="56"/>
  <c r="H20" i="56" s="1"/>
  <c r="G4" i="56"/>
  <c r="F4" i="56"/>
  <c r="E4" i="56"/>
  <c r="D4" i="56"/>
  <c r="C4" i="56"/>
  <c r="B4" i="56"/>
  <c r="H18" i="55"/>
  <c r="H4" i="55"/>
  <c r="G4" i="55"/>
  <c r="F4" i="55"/>
  <c r="E4" i="55"/>
  <c r="D4" i="55"/>
  <c r="C4" i="55"/>
  <c r="B4" i="55"/>
  <c r="E44" i="17"/>
  <c r="E45" i="17"/>
  <c r="E46" i="17"/>
  <c r="E47" i="17"/>
  <c r="H48" i="17"/>
  <c r="G48" i="17"/>
  <c r="F48" i="17"/>
  <c r="H47" i="17"/>
  <c r="G47" i="17"/>
  <c r="F47" i="17"/>
  <c r="H46" i="17"/>
  <c r="G46" i="17"/>
  <c r="F46" i="17"/>
  <c r="H45" i="17"/>
  <c r="G45" i="17"/>
  <c r="F45" i="17"/>
  <c r="H44" i="17"/>
  <c r="G44" i="17"/>
  <c r="F44" i="17"/>
  <c r="H43" i="17"/>
  <c r="G43" i="17"/>
  <c r="F43" i="17"/>
  <c r="H42" i="17"/>
  <c r="G42" i="17"/>
  <c r="F42" i="17"/>
  <c r="H41" i="17"/>
  <c r="G41" i="17"/>
  <c r="F41" i="17"/>
  <c r="H40" i="17"/>
  <c r="G40" i="17"/>
  <c r="F40" i="17"/>
  <c r="H39" i="17"/>
  <c r="G39" i="17"/>
  <c r="F39" i="17"/>
  <c r="H38" i="17"/>
  <c r="G38" i="17"/>
  <c r="F38" i="17"/>
  <c r="H37" i="17"/>
  <c r="G37" i="17"/>
  <c r="F37" i="17"/>
  <c r="H36" i="17"/>
  <c r="G36" i="17"/>
  <c r="F36" i="17"/>
  <c r="H35" i="17"/>
  <c r="G35" i="17"/>
  <c r="F35" i="17"/>
  <c r="H34" i="17"/>
  <c r="G34" i="17"/>
  <c r="F34" i="17"/>
  <c r="H33" i="17"/>
  <c r="G33" i="17"/>
  <c r="F33" i="17"/>
  <c r="H32" i="17"/>
  <c r="G32" i="17"/>
  <c r="F32" i="17"/>
  <c r="H31" i="17"/>
  <c r="G31" i="17"/>
  <c r="F31" i="17"/>
  <c r="H30" i="17"/>
  <c r="G30" i="17"/>
  <c r="F30" i="17"/>
  <c r="H29" i="17"/>
  <c r="G29" i="17"/>
  <c r="F29" i="17"/>
  <c r="H28" i="17"/>
  <c r="G28" i="17"/>
  <c r="F28" i="17"/>
  <c r="H27" i="17"/>
  <c r="G27" i="17"/>
  <c r="F27" i="17"/>
  <c r="H26" i="17"/>
  <c r="G26" i="17"/>
  <c r="F26" i="17"/>
  <c r="H25" i="17"/>
  <c r="G25" i="17"/>
  <c r="F25" i="17"/>
  <c r="H24" i="17"/>
  <c r="G24" i="17"/>
  <c r="F24" i="17"/>
  <c r="H23" i="17"/>
  <c r="G23" i="17"/>
  <c r="F23" i="17"/>
  <c r="H22" i="17"/>
  <c r="G22" i="17"/>
  <c r="F22" i="17"/>
  <c r="H21" i="17"/>
  <c r="G21" i="17"/>
  <c r="F21" i="17"/>
  <c r="H20" i="17"/>
  <c r="G20" i="17"/>
  <c r="F20" i="17"/>
  <c r="H19" i="17"/>
  <c r="G19" i="17"/>
  <c r="F19" i="17"/>
  <c r="H18" i="17"/>
  <c r="G18" i="17"/>
  <c r="F18" i="17"/>
  <c r="H17" i="17"/>
  <c r="G17" i="17"/>
  <c r="F17" i="17"/>
  <c r="H16" i="17"/>
  <c r="G16" i="17"/>
  <c r="F16" i="17"/>
  <c r="G15" i="17"/>
  <c r="F15" i="17"/>
  <c r="G14" i="17"/>
  <c r="F14" i="17"/>
  <c r="H13" i="17"/>
  <c r="G13" i="17"/>
  <c r="F13" i="17"/>
  <c r="H12" i="17"/>
  <c r="G12" i="17"/>
  <c r="F12" i="17"/>
  <c r="H11" i="17"/>
  <c r="G11" i="17"/>
  <c r="F11" i="17"/>
  <c r="H10" i="17"/>
  <c r="G10" i="17"/>
  <c r="F10" i="17"/>
  <c r="H9" i="17"/>
  <c r="G9" i="17"/>
  <c r="F9" i="17"/>
  <c r="H8" i="17"/>
  <c r="G8" i="17"/>
  <c r="F8" i="17"/>
  <c r="G7" i="17"/>
  <c r="F7" i="17"/>
  <c r="E7" i="17"/>
  <c r="E8" i="17"/>
  <c r="E9" i="17"/>
  <c r="E10" i="17"/>
  <c r="E11" i="17"/>
  <c r="E12" i="17"/>
  <c r="E13" i="17"/>
  <c r="E14" i="17"/>
  <c r="E15" i="17"/>
  <c r="E16"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E43" i="17"/>
  <c r="D44" i="17"/>
  <c r="D45" i="17"/>
  <c r="D46" i="17"/>
  <c r="D47" i="17"/>
  <c r="D48" i="17"/>
  <c r="D8" i="17"/>
  <c r="D9" i="17"/>
  <c r="D10" i="17"/>
  <c r="D11" i="17"/>
  <c r="D12" i="17"/>
  <c r="D13"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6" i="17"/>
  <c r="A44" i="17"/>
  <c r="A45" i="17" s="1"/>
  <c r="A46" i="17" s="1"/>
  <c r="A47" i="17" s="1"/>
  <c r="A48" i="17" s="1"/>
  <c r="A8" i="17"/>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S38" i="48"/>
  <c r="S48" i="48"/>
  <c r="S31" i="48"/>
  <c r="S37" i="48"/>
  <c r="R37" i="48"/>
  <c r="S30" i="48"/>
  <c r="R30" i="48"/>
  <c r="S47" i="48"/>
  <c r="R47" i="48"/>
  <c r="T47" i="48" s="1"/>
  <c r="H20" i="55" l="1"/>
  <c r="S5" i="3"/>
  <c r="S41" i="3"/>
  <c r="S24" i="3"/>
  <c r="S6" i="3"/>
  <c r="H18" i="10"/>
  <c r="B4" i="52"/>
  <c r="R59" i="3"/>
  <c r="T42" i="3"/>
  <c r="H15" i="29"/>
  <c r="J65" i="41"/>
  <c r="K65" i="41" s="1"/>
  <c r="D65" i="41"/>
  <c r="E65" i="41"/>
  <c r="F65" i="41"/>
  <c r="G65" i="41"/>
  <c r="Y40" i="3"/>
  <c r="Y41" i="3"/>
  <c r="Y46" i="3"/>
  <c r="Y45" i="3"/>
  <c r="Y44" i="3"/>
  <c r="Y43" i="3"/>
  <c r="Y42" i="3"/>
  <c r="Y38" i="3"/>
  <c r="G43" i="3"/>
  <c r="G44" i="3"/>
  <c r="G45" i="3"/>
  <c r="G46" i="3"/>
  <c r="G42" i="3"/>
  <c r="G41" i="3"/>
  <c r="G39" i="3"/>
  <c r="R24" i="3"/>
  <c r="J86" i="41" l="1"/>
  <c r="K86" i="41" s="1"/>
  <c r="D86" i="41"/>
  <c r="E86" i="41"/>
  <c r="F86" i="41"/>
  <c r="G86" i="41"/>
  <c r="H4" i="33"/>
  <c r="S30" i="3"/>
  <c r="R30" i="3"/>
  <c r="T32" i="3"/>
  <c r="A7" i="17"/>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E48" i="17"/>
  <c r="D47" i="41"/>
  <c r="E47" i="41"/>
  <c r="F47" i="41"/>
  <c r="G47" i="41"/>
  <c r="I47" i="41"/>
  <c r="J47" i="41"/>
  <c r="D48" i="41"/>
  <c r="E48" i="41"/>
  <c r="F48" i="41"/>
  <c r="G48" i="41"/>
  <c r="I48" i="41"/>
  <c r="J48" i="41"/>
  <c r="D64" i="41"/>
  <c r="E64" i="41"/>
  <c r="F64" i="41"/>
  <c r="G64" i="41"/>
  <c r="J64" i="41"/>
  <c r="K64" i="41" s="1"/>
  <c r="D85" i="41"/>
  <c r="E85" i="41"/>
  <c r="F85" i="41"/>
  <c r="G85" i="41"/>
  <c r="J85" i="41"/>
  <c r="K85" i="41" s="1"/>
  <c r="H17" i="20"/>
  <c r="R35" i="3"/>
  <c r="S33" i="3"/>
  <c r="R33" i="3"/>
  <c r="R31" i="3"/>
  <c r="R29" i="3"/>
  <c r="R28" i="3"/>
  <c r="R27" i="3"/>
  <c r="R26" i="3"/>
  <c r="R25" i="3"/>
  <c r="S23" i="3"/>
  <c r="R23" i="3"/>
  <c r="R22" i="3"/>
  <c r="R21" i="3"/>
  <c r="R20" i="3"/>
  <c r="R19" i="3"/>
  <c r="R18" i="3"/>
  <c r="R17" i="3"/>
  <c r="R16" i="3"/>
  <c r="R14" i="3"/>
  <c r="S13" i="3"/>
  <c r="R13" i="3"/>
  <c r="S12" i="3"/>
  <c r="R12" i="3"/>
  <c r="R11" i="3"/>
  <c r="R10" i="3"/>
  <c r="R9" i="3"/>
  <c r="R8" i="3"/>
  <c r="R7" i="3"/>
  <c r="R6" i="3"/>
  <c r="R5" i="3"/>
  <c r="R4" i="3"/>
  <c r="G6" i="17" s="1"/>
  <c r="H18" i="40"/>
  <c r="H18" i="38"/>
  <c r="H18" i="13"/>
  <c r="H18" i="24"/>
  <c r="K47" i="41" l="1"/>
  <c r="K48" i="41"/>
  <c r="Y39" i="3"/>
  <c r="U39" i="3"/>
  <c r="D63" i="41"/>
  <c r="E63" i="41"/>
  <c r="F63" i="41"/>
  <c r="G63" i="41"/>
  <c r="H18" i="53"/>
  <c r="H4" i="53"/>
  <c r="G4" i="53"/>
  <c r="F4" i="53"/>
  <c r="E4" i="53"/>
  <c r="D4" i="53"/>
  <c r="C4" i="53"/>
  <c r="B4" i="53"/>
  <c r="D46" i="41"/>
  <c r="E46" i="41"/>
  <c r="F46" i="41"/>
  <c r="G46" i="41"/>
  <c r="I46" i="41"/>
  <c r="J46" i="41"/>
  <c r="W11"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4" i="3"/>
  <c r="I105" i="41"/>
  <c r="H84" i="41"/>
  <c r="G84" i="41"/>
  <c r="F84" i="41"/>
  <c r="E84" i="41"/>
  <c r="D84" i="41"/>
  <c r="U41" i="3" l="1"/>
  <c r="K46" i="41"/>
  <c r="J84" i="41"/>
  <c r="J105" i="41" s="1"/>
  <c r="J63" i="41"/>
  <c r="K63" i="41" s="1"/>
  <c r="H20" i="53"/>
  <c r="H20" i="20"/>
  <c r="J62" i="41"/>
  <c r="J61" i="41"/>
  <c r="I17" i="41"/>
  <c r="I18" i="41"/>
  <c r="I19" i="41"/>
  <c r="I20" i="41"/>
  <c r="I21" i="41"/>
  <c r="I23" i="41"/>
  <c r="I24" i="41"/>
  <c r="I25" i="41"/>
  <c r="I26" i="41"/>
  <c r="I27" i="41"/>
  <c r="I29" i="41"/>
  <c r="I30" i="41"/>
  <c r="I31" i="41"/>
  <c r="I4" i="41"/>
  <c r="I5" i="41"/>
  <c r="I6" i="41"/>
  <c r="I7" i="41"/>
  <c r="I8" i="41"/>
  <c r="I9" i="41"/>
  <c r="I10" i="41"/>
  <c r="I11" i="41"/>
  <c r="I12" i="41"/>
  <c r="I13" i="41"/>
  <c r="I14" i="41"/>
  <c r="I15" i="41"/>
  <c r="I16" i="41"/>
  <c r="I3" i="41"/>
  <c r="I42" i="41"/>
  <c r="I43" i="41"/>
  <c r="J37" i="41"/>
  <c r="J38" i="41"/>
  <c r="J39" i="41"/>
  <c r="J40" i="41"/>
  <c r="J41" i="41"/>
  <c r="J44" i="41"/>
  <c r="J35" i="41"/>
  <c r="J43" i="41" l="1"/>
  <c r="K43" i="41" s="1"/>
  <c r="K84" i="41"/>
  <c r="K105" i="41" s="1"/>
  <c r="L105" i="41" s="1"/>
  <c r="D36" i="41" l="1"/>
  <c r="E36" i="41"/>
  <c r="F36" i="41"/>
  <c r="G36" i="41"/>
  <c r="D37" i="41"/>
  <c r="E37" i="41"/>
  <c r="F37" i="41"/>
  <c r="G37" i="41"/>
  <c r="D38" i="41"/>
  <c r="E38" i="41"/>
  <c r="F38" i="41"/>
  <c r="G38" i="41"/>
  <c r="D39" i="41"/>
  <c r="E39" i="41"/>
  <c r="F39" i="41"/>
  <c r="G39" i="41"/>
  <c r="D40" i="41"/>
  <c r="E40" i="41"/>
  <c r="F40" i="41"/>
  <c r="G40" i="41"/>
  <c r="D41" i="41"/>
  <c r="E41" i="41"/>
  <c r="F41" i="41"/>
  <c r="G41" i="41"/>
  <c r="D42" i="41"/>
  <c r="E42" i="41"/>
  <c r="F42" i="41"/>
  <c r="G42" i="41"/>
  <c r="D43" i="41"/>
  <c r="E43" i="41"/>
  <c r="F43" i="41"/>
  <c r="G43" i="41"/>
  <c r="D44" i="41"/>
  <c r="E44" i="41"/>
  <c r="F44" i="41"/>
  <c r="G44" i="41"/>
  <c r="D45" i="41"/>
  <c r="E45" i="41"/>
  <c r="F45" i="41"/>
  <c r="G45" i="41"/>
  <c r="D35" i="41"/>
  <c r="U51" i="3"/>
  <c r="S25" i="3"/>
  <c r="I41" i="41" s="1"/>
  <c r="K41" i="41" s="1"/>
  <c r="S9" i="3" l="1"/>
  <c r="I36" i="41" s="1"/>
  <c r="S37" i="3"/>
  <c r="S36" i="3"/>
  <c r="S38" i="3"/>
  <c r="H18" i="52"/>
  <c r="H4" i="52"/>
  <c r="H20" i="52" s="1"/>
  <c r="G4" i="52"/>
  <c r="F4" i="52"/>
  <c r="E4" i="52"/>
  <c r="D4" i="52"/>
  <c r="C4" i="52"/>
  <c r="H18" i="51"/>
  <c r="H4" i="51"/>
  <c r="H20" i="51" s="1"/>
  <c r="G4" i="51"/>
  <c r="F4" i="51"/>
  <c r="E4" i="51"/>
  <c r="D4" i="51"/>
  <c r="C4" i="51"/>
  <c r="B4" i="51"/>
  <c r="H61" i="41"/>
  <c r="K6" i="7"/>
  <c r="K7" i="7"/>
  <c r="K8" i="7"/>
  <c r="K9" i="7"/>
  <c r="K10" i="7"/>
  <c r="K11" i="7"/>
  <c r="K12" i="7"/>
  <c r="K13" i="7"/>
  <c r="K5" i="7"/>
  <c r="U6" i="3" l="1"/>
  <c r="J45" i="41"/>
  <c r="I44" i="41"/>
  <c r="K44" i="41" s="1"/>
  <c r="I38" i="41"/>
  <c r="K38" i="41" s="1"/>
  <c r="I39" i="41"/>
  <c r="K39" i="41" s="1"/>
  <c r="I45" i="41"/>
  <c r="I40" i="41"/>
  <c r="K40" i="41" s="1"/>
  <c r="I35" i="41"/>
  <c r="K18" i="7"/>
  <c r="J14" i="7"/>
  <c r="G5" i="7"/>
  <c r="G6" i="7"/>
  <c r="G14" i="7" s="1"/>
  <c r="G7" i="7"/>
  <c r="G8" i="7"/>
  <c r="G9" i="7"/>
  <c r="G10" i="7"/>
  <c r="G11" i="7"/>
  <c r="G12" i="7"/>
  <c r="G13" i="7"/>
  <c r="F14" i="7"/>
  <c r="H18" i="50"/>
  <c r="H4" i="50"/>
  <c r="H20" i="50" s="1"/>
  <c r="G4" i="50"/>
  <c r="F4" i="50"/>
  <c r="E4" i="50"/>
  <c r="D4" i="50"/>
  <c r="C4" i="50"/>
  <c r="B4" i="50"/>
  <c r="I4" i="50" s="1"/>
  <c r="R50" i="3"/>
  <c r="U36" i="3"/>
  <c r="U37" i="3"/>
  <c r="U38" i="3"/>
  <c r="G36" i="3"/>
  <c r="G37" i="3"/>
  <c r="G38" i="3"/>
  <c r="S10" i="3"/>
  <c r="I37" i="41" s="1"/>
  <c r="K37" i="41" s="1"/>
  <c r="K45" i="41" l="1"/>
  <c r="I58" i="41"/>
  <c r="K35" i="41"/>
  <c r="K14" i="7"/>
  <c r="K17" i="7" s="1"/>
  <c r="K19" i="7" s="1"/>
  <c r="H35" i="41"/>
  <c r="G17" i="7"/>
  <c r="C4" i="48"/>
  <c r="C5" i="48" s="1"/>
  <c r="U55" i="3" l="1"/>
  <c r="H18" i="44"/>
  <c r="H13" i="44"/>
  <c r="U5" i="3" l="1"/>
  <c r="H7" i="17" s="1"/>
  <c r="U7" i="3"/>
  <c r="U8" i="3"/>
  <c r="U11" i="3"/>
  <c r="U12" i="3"/>
  <c r="U13" i="3"/>
  <c r="H15" i="17" s="1"/>
  <c r="U14" i="3"/>
  <c r="U15" i="3"/>
  <c r="U16" i="3"/>
  <c r="U17" i="3"/>
  <c r="U18" i="3"/>
  <c r="U19" i="3"/>
  <c r="U20" i="3"/>
  <c r="U21" i="3"/>
  <c r="U22" i="3"/>
  <c r="U23" i="3"/>
  <c r="U24" i="3"/>
  <c r="U25" i="3"/>
  <c r="U26" i="3"/>
  <c r="U27" i="3"/>
  <c r="U28" i="3"/>
  <c r="U31" i="3"/>
  <c r="U32" i="3"/>
  <c r="U33" i="3"/>
  <c r="U34" i="3"/>
  <c r="U35" i="3"/>
  <c r="U4" i="3"/>
  <c r="H6" i="17" s="1"/>
  <c r="E62" i="41"/>
  <c r="E61" i="41"/>
  <c r="E35" i="41"/>
  <c r="F62" i="41"/>
  <c r="F61" i="41"/>
  <c r="F35" i="41"/>
  <c r="G62" i="41"/>
  <c r="G61"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5" i="41"/>
  <c r="K61" i="41"/>
  <c r="I81" i="41"/>
  <c r="D62" i="41"/>
  <c r="D61" i="41"/>
  <c r="U47" i="3" l="1"/>
  <c r="H14" i="17"/>
  <c r="K62" i="41"/>
  <c r="K31"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K81" i="41" l="1"/>
  <c r="L81" i="41" s="1"/>
  <c r="J81" i="41"/>
  <c r="K19" i="41"/>
  <c r="K9" i="41"/>
  <c r="U10" i="3"/>
  <c r="H18" i="46"/>
  <c r="H4" i="46"/>
  <c r="G4" i="46"/>
  <c r="F4" i="46"/>
  <c r="E4" i="46"/>
  <c r="D4" i="46"/>
  <c r="C4" i="46"/>
  <c r="B4" i="46"/>
  <c r="I4" i="46" s="1"/>
  <c r="H18" i="45"/>
  <c r="H4" i="45"/>
  <c r="G4" i="45"/>
  <c r="F4" i="45"/>
  <c r="E4" i="45"/>
  <c r="D4" i="45"/>
  <c r="C4" i="45"/>
  <c r="B4" i="45"/>
  <c r="I4" i="45" s="1"/>
  <c r="H4" i="44"/>
  <c r="H20" i="44" s="1"/>
  <c r="G4" i="44"/>
  <c r="F4" i="44"/>
  <c r="E4" i="44"/>
  <c r="D4" i="44"/>
  <c r="C4" i="44"/>
  <c r="B4" i="44"/>
  <c r="I4" i="44" s="1"/>
  <c r="G35" i="3"/>
  <c r="H18" i="42"/>
  <c r="H4" i="42"/>
  <c r="G4" i="42"/>
  <c r="F4" i="42"/>
  <c r="E4" i="42"/>
  <c r="D4" i="42"/>
  <c r="C4" i="42"/>
  <c r="B4" i="42"/>
  <c r="I4" i="42" s="1"/>
  <c r="K26" i="41" l="1"/>
  <c r="K29" i="41"/>
  <c r="H20" i="46"/>
  <c r="H20" i="45"/>
  <c r="H20" i="42"/>
  <c r="G15" i="3"/>
  <c r="H11" i="29"/>
  <c r="H18" i="39"/>
  <c r="H18" i="33"/>
  <c r="H18" i="37"/>
  <c r="H18" i="26"/>
  <c r="H18" i="30"/>
  <c r="H18" i="27"/>
  <c r="H18" i="22"/>
  <c r="H18" i="19"/>
  <c r="H18" i="31"/>
  <c r="H18" i="16"/>
  <c r="H18" i="21"/>
  <c r="H18" i="36"/>
  <c r="H18" i="14"/>
  <c r="H18" i="32"/>
  <c r="H18" i="35"/>
  <c r="H18" i="15"/>
  <c r="H18" i="12"/>
  <c r="G29" i="3"/>
  <c r="G30" i="3"/>
  <c r="G31" i="3"/>
  <c r="G32" i="3"/>
  <c r="G33" i="3"/>
  <c r="G34" i="3"/>
  <c r="H4" i="40"/>
  <c r="G4" i="40"/>
  <c r="F4" i="40"/>
  <c r="E4" i="40"/>
  <c r="D4" i="40"/>
  <c r="C4" i="40"/>
  <c r="B4" i="40"/>
  <c r="I4" i="40" s="1"/>
  <c r="H20" i="40" s="1"/>
  <c r="H4" i="39"/>
  <c r="H20" i="39" s="1"/>
  <c r="G4" i="39"/>
  <c r="F4" i="39"/>
  <c r="E4" i="39"/>
  <c r="D4" i="39"/>
  <c r="C4" i="39"/>
  <c r="B4" i="39"/>
  <c r="I22" i="41" l="1"/>
  <c r="K22" i="41" s="1"/>
  <c r="I28" i="41"/>
  <c r="K28" i="41" s="1"/>
  <c r="K12" i="41"/>
  <c r="K21" i="41"/>
  <c r="K5" i="41"/>
  <c r="K14" i="41"/>
  <c r="K25" i="41"/>
  <c r="K6" i="41"/>
  <c r="K15" i="41"/>
  <c r="K27" i="41"/>
  <c r="D20" i="8"/>
  <c r="K4" i="41"/>
  <c r="K7" i="41"/>
  <c r="K16" i="41"/>
  <c r="K23" i="41"/>
  <c r="K17" i="41"/>
  <c r="K30" i="41"/>
  <c r="K10" i="41"/>
  <c r="K18" i="41"/>
  <c r="K24" i="41"/>
  <c r="K13" i="41"/>
  <c r="K11" i="41"/>
  <c r="K20" i="41"/>
  <c r="G49" i="17" l="1"/>
  <c r="U56" i="3"/>
  <c r="J36" i="41"/>
  <c r="K36" i="41" s="1"/>
  <c r="J42" i="41"/>
  <c r="D23" i="8"/>
  <c r="D22" i="8"/>
  <c r="G27" i="3"/>
  <c r="G28" i="3"/>
  <c r="H4" i="38"/>
  <c r="G4" i="38"/>
  <c r="F4" i="38"/>
  <c r="E4" i="38"/>
  <c r="D4" i="38"/>
  <c r="C4" i="38"/>
  <c r="B4" i="38"/>
  <c r="I4" i="38" s="1"/>
  <c r="H20" i="38" s="1"/>
  <c r="G5" i="3"/>
  <c r="D7" i="17" s="1"/>
  <c r="G6" i="3"/>
  <c r="G7" i="3"/>
  <c r="G8" i="3"/>
  <c r="G9" i="3"/>
  <c r="G10" i="3"/>
  <c r="G11" i="3"/>
  <c r="G12" i="3"/>
  <c r="D14" i="17" s="1"/>
  <c r="G13" i="3"/>
  <c r="D15" i="17" s="1"/>
  <c r="G14" i="3"/>
  <c r="G16" i="3"/>
  <c r="G17" i="3"/>
  <c r="G18" i="3"/>
  <c r="G19" i="3"/>
  <c r="G20" i="3"/>
  <c r="G21" i="3"/>
  <c r="G22" i="3"/>
  <c r="G23" i="3"/>
  <c r="G24" i="3"/>
  <c r="G25" i="3"/>
  <c r="G26" i="3"/>
  <c r="K42" i="41" l="1"/>
  <c r="K58" i="41" s="1"/>
  <c r="J58" i="41"/>
  <c r="D24" i="8"/>
  <c r="E10" i="8"/>
  <c r="E5" i="8"/>
  <c r="H4" i="37"/>
  <c r="H20" i="37" s="1"/>
  <c r="G4" i="37"/>
  <c r="F4" i="37"/>
  <c r="E4" i="37"/>
  <c r="D4" i="37"/>
  <c r="C4" i="37"/>
  <c r="B4" i="37"/>
  <c r="C6" i="8"/>
  <c r="C7" i="8"/>
  <c r="C8" i="8"/>
  <c r="C9" i="8"/>
  <c r="C10" i="8"/>
  <c r="C11" i="8"/>
  <c r="C12" i="8"/>
  <c r="C13" i="8"/>
  <c r="C5" i="8"/>
  <c r="B22" i="18"/>
  <c r="B23" i="18"/>
  <c r="B24" i="18"/>
  <c r="B25" i="18"/>
  <c r="B26" i="18"/>
  <c r="B27" i="18"/>
  <c r="B28" i="18"/>
  <c r="B29" i="18"/>
  <c r="B21" i="18"/>
  <c r="H4" i="34"/>
  <c r="G4" i="34"/>
  <c r="F4" i="34"/>
  <c r="E4" i="34"/>
  <c r="D4" i="34"/>
  <c r="C4" i="34"/>
  <c r="B4" i="34"/>
  <c r="I4" i="34" s="1"/>
  <c r="H10" i="34"/>
  <c r="H4" i="36"/>
  <c r="H20" i="36" s="1"/>
  <c r="G4" i="36"/>
  <c r="F4" i="36"/>
  <c r="E4" i="36"/>
  <c r="D4" i="36"/>
  <c r="C4" i="36"/>
  <c r="B4" i="36"/>
  <c r="I4" i="36" s="1"/>
  <c r="H4" i="35"/>
  <c r="H20" i="35" s="1"/>
  <c r="G4" i="35"/>
  <c r="F4" i="35"/>
  <c r="E4" i="35"/>
  <c r="D4" i="35"/>
  <c r="C4" i="35"/>
  <c r="B4" i="35"/>
  <c r="H9" i="34"/>
  <c r="H20" i="33"/>
  <c r="G4" i="33"/>
  <c r="F4" i="33"/>
  <c r="E4" i="33"/>
  <c r="D4" i="33"/>
  <c r="C4" i="33"/>
  <c r="B4" i="33"/>
  <c r="H4" i="32"/>
  <c r="H20" i="32" s="1"/>
  <c r="G4" i="32"/>
  <c r="F4" i="32"/>
  <c r="E4" i="32"/>
  <c r="D4" i="32"/>
  <c r="C4" i="32"/>
  <c r="B4" i="32"/>
  <c r="I4" i="32" s="1"/>
  <c r="K13" i="20"/>
  <c r="H14" i="20" s="1"/>
  <c r="J13" i="20"/>
  <c r="H13" i="20" s="1"/>
  <c r="H4" i="31"/>
  <c r="H20" i="31" s="1"/>
  <c r="G4" i="31"/>
  <c r="F4" i="31"/>
  <c r="E4" i="31"/>
  <c r="D4" i="31"/>
  <c r="C4" i="31"/>
  <c r="B4" i="31"/>
  <c r="I4" i="31" s="1"/>
  <c r="H4" i="30"/>
  <c r="H20" i="30" s="1"/>
  <c r="G4" i="30"/>
  <c r="F4" i="30"/>
  <c r="E4" i="30"/>
  <c r="D4" i="30"/>
  <c r="C4" i="30"/>
  <c r="B4" i="30"/>
  <c r="I4" i="30" s="1"/>
  <c r="H20" i="34" l="1"/>
  <c r="H4" i="10"/>
  <c r="H4" i="12"/>
  <c r="H4" i="15"/>
  <c r="H20" i="15" s="1"/>
  <c r="H4" i="13"/>
  <c r="H4" i="14"/>
  <c r="H20" i="14" s="1"/>
  <c r="H4" i="16"/>
  <c r="H20" i="16" s="1"/>
  <c r="H4" i="19"/>
  <c r="H20" i="19" s="1"/>
  <c r="H4" i="20"/>
  <c r="H22" i="20" s="1"/>
  <c r="H4" i="21"/>
  <c r="H20" i="21" s="1"/>
  <c r="H4" i="22"/>
  <c r="H20" i="22" s="1"/>
  <c r="H4" i="24"/>
  <c r="H4" i="26"/>
  <c r="H20" i="26" s="1"/>
  <c r="H4" i="27"/>
  <c r="H20" i="27" s="1"/>
  <c r="H4" i="29"/>
  <c r="H20" i="29" s="1"/>
  <c r="G4" i="29" l="1"/>
  <c r="F4" i="29"/>
  <c r="E4" i="29"/>
  <c r="D4" i="29"/>
  <c r="C4" i="29"/>
  <c r="B4" i="29"/>
  <c r="G4" i="27"/>
  <c r="F4" i="27"/>
  <c r="E4" i="27"/>
  <c r="D4" i="27"/>
  <c r="C4" i="27"/>
  <c r="B4" i="27"/>
  <c r="G4" i="26"/>
  <c r="F4" i="26"/>
  <c r="E4" i="26"/>
  <c r="D4" i="26"/>
  <c r="C4" i="26"/>
  <c r="B4" i="26"/>
  <c r="I4" i="26" s="1"/>
  <c r="B14" i="7"/>
  <c r="G4" i="24"/>
  <c r="F4" i="24"/>
  <c r="E4" i="24"/>
  <c r="D4" i="24"/>
  <c r="C4" i="24"/>
  <c r="B4" i="24"/>
  <c r="I4" i="24" s="1"/>
  <c r="H20" i="24" s="1"/>
  <c r="G4" i="22"/>
  <c r="F4" i="22"/>
  <c r="E4" i="22"/>
  <c r="D4" i="22"/>
  <c r="C4" i="22"/>
  <c r="B4" i="22"/>
  <c r="G4" i="21"/>
  <c r="F4" i="21"/>
  <c r="E4" i="21"/>
  <c r="D4" i="21"/>
  <c r="C4" i="21"/>
  <c r="B4" i="21"/>
  <c r="I4" i="21" s="1"/>
  <c r="G4" i="20"/>
  <c r="F4" i="20"/>
  <c r="E4" i="20"/>
  <c r="D4" i="20"/>
  <c r="C4" i="20"/>
  <c r="B4" i="20"/>
  <c r="G4" i="19"/>
  <c r="F4" i="19"/>
  <c r="E4" i="19"/>
  <c r="D4" i="19"/>
  <c r="C4" i="19"/>
  <c r="B4" i="19"/>
  <c r="G4" i="16"/>
  <c r="F4" i="16"/>
  <c r="E4" i="16"/>
  <c r="D4" i="16"/>
  <c r="C4" i="16"/>
  <c r="B4" i="16"/>
  <c r="G4" i="14"/>
  <c r="F4" i="14"/>
  <c r="E4" i="14"/>
  <c r="D4" i="14"/>
  <c r="C4" i="14"/>
  <c r="B4" i="14"/>
  <c r="I4" i="14" s="1"/>
  <c r="G4" i="13"/>
  <c r="F4" i="13"/>
  <c r="E4" i="13"/>
  <c r="D4" i="13"/>
  <c r="C4" i="13"/>
  <c r="B4" i="13"/>
  <c r="I4" i="13" s="1"/>
  <c r="H20" i="13" s="1"/>
  <c r="G4" i="15"/>
  <c r="F4" i="15"/>
  <c r="E4" i="15"/>
  <c r="D4" i="15"/>
  <c r="C4" i="15"/>
  <c r="B4" i="15"/>
  <c r="I4" i="15" s="1"/>
  <c r="G4" i="12"/>
  <c r="F4" i="12"/>
  <c r="E4" i="12"/>
  <c r="D4" i="12"/>
  <c r="C4" i="12"/>
  <c r="B4" i="12"/>
  <c r="I4" i="12" s="1"/>
  <c r="G4" i="10"/>
  <c r="F4" i="10"/>
  <c r="E4" i="10"/>
  <c r="D4" i="10"/>
  <c r="C4" i="10"/>
  <c r="B4" i="10"/>
  <c r="I4" i="10" s="1"/>
  <c r="H20" i="10" s="1"/>
  <c r="F6" i="17"/>
  <c r="E6" i="17"/>
  <c r="G4" i="3"/>
  <c r="H9" i="20"/>
  <c r="K11" i="20"/>
  <c r="K10" i="20"/>
  <c r="J11" i="20"/>
  <c r="H11" i="20" s="1"/>
  <c r="J10" i="20"/>
  <c r="H10" i="20" s="1"/>
  <c r="C13" i="48" l="1"/>
  <c r="C12" i="48"/>
  <c r="F49" i="17"/>
  <c r="C11" i="48"/>
  <c r="C10" i="48"/>
  <c r="K8" i="41"/>
  <c r="H12" i="20"/>
  <c r="I8" i="8"/>
  <c r="K8" i="8" s="1"/>
  <c r="D24" i="18" s="1"/>
  <c r="E24" i="18" s="1"/>
  <c r="I9" i="8"/>
  <c r="K9" i="8" s="1"/>
  <c r="D25" i="18" s="1"/>
  <c r="E25" i="18" s="1"/>
  <c r="I5" i="8"/>
  <c r="I11" i="8"/>
  <c r="K11" i="8" s="1"/>
  <c r="D27" i="18" s="1"/>
  <c r="E27" i="18" s="1"/>
  <c r="I12" i="8"/>
  <c r="K12" i="8" s="1"/>
  <c r="D28" i="18" s="1"/>
  <c r="E28" i="18" s="1"/>
  <c r="I13" i="8"/>
  <c r="K13" i="8" s="1"/>
  <c r="D29" i="18" s="1"/>
  <c r="E29" i="18" s="1"/>
  <c r="C9" i="48"/>
  <c r="D11" i="8"/>
  <c r="D9" i="8"/>
  <c r="D6" i="8"/>
  <c r="D5" i="8"/>
  <c r="D7" i="8"/>
  <c r="D8" i="8"/>
  <c r="D10" i="8"/>
  <c r="D12" i="8"/>
  <c r="F4" i="48"/>
  <c r="C24" i="48" s="1"/>
  <c r="C20" i="11"/>
  <c r="C19" i="11"/>
  <c r="C18" i="11"/>
  <c r="C10" i="11"/>
  <c r="C17" i="11"/>
  <c r="C9" i="11"/>
  <c r="C16" i="11"/>
  <c r="C15" i="11"/>
  <c r="C14" i="11"/>
  <c r="C13" i="11"/>
  <c r="C12" i="11"/>
  <c r="C11" i="11"/>
  <c r="H12" i="8"/>
  <c r="C28" i="18"/>
  <c r="D6" i="17"/>
  <c r="B14" i="18"/>
  <c r="B13" i="18"/>
  <c r="B12" i="18"/>
  <c r="B11" i="18"/>
  <c r="B10" i="18"/>
  <c r="B9" i="18"/>
  <c r="B8" i="18"/>
  <c r="B7" i="18"/>
  <c r="B6" i="18"/>
  <c r="C21" i="48" l="1"/>
  <c r="S48" i="3" s="1"/>
  <c r="U9" i="3"/>
  <c r="R52" i="3"/>
  <c r="R55" i="3" s="1"/>
  <c r="C21" i="11"/>
  <c r="C23" i="18"/>
  <c r="H7" i="8"/>
  <c r="H13" i="8"/>
  <c r="L13" i="8" s="1"/>
  <c r="C29" i="18"/>
  <c r="C24" i="18"/>
  <c r="H8" i="8"/>
  <c r="L8" i="8" s="1"/>
  <c r="H11" i="8"/>
  <c r="C27" i="18"/>
  <c r="H5" i="8"/>
  <c r="C21" i="18"/>
  <c r="C26" i="18"/>
  <c r="H10" i="8"/>
  <c r="H6" i="8"/>
  <c r="C22" i="18"/>
  <c r="H9" i="8"/>
  <c r="C25" i="18"/>
  <c r="L11" i="8"/>
  <c r="L12" i="8"/>
  <c r="L9" i="8"/>
  <c r="H10" i="13"/>
  <c r="H10" i="12"/>
  <c r="H11" i="12" s="1"/>
  <c r="H20" i="12" s="1"/>
  <c r="B6" i="8"/>
  <c r="B7" i="8"/>
  <c r="B8" i="8"/>
  <c r="B9" i="8"/>
  <c r="B10" i="8"/>
  <c r="B11" i="8"/>
  <c r="B12" i="8"/>
  <c r="B13" i="8"/>
  <c r="B5" i="8"/>
  <c r="U50" i="3" l="1"/>
  <c r="U52" i="3" s="1"/>
  <c r="H54" i="41"/>
  <c r="H58" i="41" s="1"/>
  <c r="L58" i="41" s="1"/>
  <c r="I7" i="8"/>
  <c r="K7" i="8" s="1"/>
  <c r="G18" i="7"/>
  <c r="G19" i="7" s="1"/>
  <c r="U57" i="3"/>
  <c r="D13" i="8"/>
  <c r="I32" i="41"/>
  <c r="H14" i="8"/>
  <c r="C14" i="18"/>
  <c r="C11" i="18"/>
  <c r="C8" i="18"/>
  <c r="C7" i="18"/>
  <c r="C6" i="18"/>
  <c r="U59" i="3" l="1"/>
  <c r="D23" i="18"/>
  <c r="E23" i="18" s="1"/>
  <c r="L7" i="8"/>
  <c r="R48" i="3"/>
  <c r="C9" i="18"/>
  <c r="C10" i="18"/>
  <c r="C12" i="18"/>
  <c r="C13" i="18"/>
  <c r="C14" i="8"/>
  <c r="C14" i="7"/>
  <c r="C17" i="7" l="1"/>
  <c r="C4" i="11"/>
  <c r="C15" i="18"/>
  <c r="C5" i="11" l="1"/>
  <c r="D21" i="11" l="1"/>
  <c r="C24" i="11"/>
  <c r="D41" i="1"/>
  <c r="D24" i="11" l="1"/>
  <c r="C23" i="48"/>
  <c r="C26" i="48" s="1"/>
  <c r="J32" i="41"/>
  <c r="F12" i="8"/>
  <c r="F7" i="8"/>
  <c r="F11" i="8"/>
  <c r="G11" i="8" s="1"/>
  <c r="F8" i="8"/>
  <c r="F13" i="8"/>
  <c r="D8" i="18" l="1"/>
  <c r="E8" i="18" s="1"/>
  <c r="G7" i="8"/>
  <c r="D13" i="18"/>
  <c r="E13" i="18" s="1"/>
  <c r="G12" i="8"/>
  <c r="G8" i="8"/>
  <c r="D9" i="18"/>
  <c r="E9" i="18" s="1"/>
  <c r="D14" i="18"/>
  <c r="E14" i="18" s="1"/>
  <c r="G13" i="8"/>
  <c r="K3" i="41"/>
  <c r="K32" i="41" s="1"/>
  <c r="L32" i="41" s="1"/>
  <c r="F9" i="8"/>
  <c r="D12" i="18"/>
  <c r="E12" i="18" s="1"/>
  <c r="G9" i="8" l="1"/>
  <c r="D10" i="18"/>
  <c r="E10" i="18" s="1"/>
  <c r="U29" i="3"/>
  <c r="I10" i="8" l="1"/>
  <c r="I20" i="8"/>
  <c r="F10" i="8"/>
  <c r="F5" i="8"/>
  <c r="I23" i="8" l="1"/>
  <c r="I22" i="8"/>
  <c r="J5" i="8" s="1"/>
  <c r="G5" i="8"/>
  <c r="D6" i="18"/>
  <c r="E6" i="18" s="1"/>
  <c r="D11" i="18"/>
  <c r="E11" i="18" s="1"/>
  <c r="G10" i="8"/>
  <c r="J10" i="8" l="1"/>
  <c r="K10" i="8" s="1"/>
  <c r="K5" i="8"/>
  <c r="I24" i="8"/>
  <c r="U30" i="3"/>
  <c r="F6" i="8"/>
  <c r="C18" i="7" l="1"/>
  <c r="C19" i="7" s="1"/>
  <c r="H49" i="17"/>
  <c r="I6" i="8"/>
  <c r="I14" i="8" s="1"/>
  <c r="D21" i="18"/>
  <c r="E21" i="18" s="1"/>
  <c r="L5" i="8"/>
  <c r="D26" i="18"/>
  <c r="E26" i="18" s="1"/>
  <c r="L10" i="8"/>
  <c r="D14" i="8"/>
  <c r="G6" i="8"/>
  <c r="G14" i="8" s="1"/>
  <c r="F14" i="8"/>
  <c r="D7" i="18"/>
  <c r="E7" i="18" s="1"/>
  <c r="E15" i="18" s="1"/>
  <c r="K6" i="8" l="1"/>
  <c r="D22" i="18" s="1"/>
  <c r="D15" i="18"/>
  <c r="D30" i="18" l="1"/>
  <c r="E22" i="18"/>
  <c r="E30" i="18" s="1"/>
  <c r="L6" i="8"/>
  <c r="L14" i="8" s="1"/>
  <c r="K14" i="8"/>
  <c r="C30" i="18"/>
  <c r="T30"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tc={AA2AAB68-C334-402F-BFE2-A7D00ACCE4BE}</author>
    <author>tc={2F536141-AE0B-480B-9256-AC86F43D41D9}</author>
    <author>tc={CD0EAA3A-8612-41AC-AEA9-2402CC95F0F9}</author>
    <author>tc={E105EA63-7C78-41C4-8D8F-2A5203F081DB}</author>
    <author>tc={E5436728-87D0-492B-83F9-14F3FA74D779}</author>
    <author>tc={2718DB0D-6394-4B31-BD4D-B1D4C2924D70}</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Includes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W11" authorId="2" shapeId="0" xr:uid="{AA2AAB68-C334-402F-BFE2-A7D00ACCE4BE}">
      <text>
        <t>[Threaded comment]
Your version of Excel allows you to read this threaded comment; however, any edits to it will get removed if the file is opened in a newer version of Excel. Learn more: https://go.microsoft.com/fwlink/?linkid=870924
Comment:
    Project will be joint funded, FPR / Divinity + Dean of Students.</t>
      </text>
    </comment>
    <comment ref="W19" authorId="3" shapeId="0" xr:uid="{2F536141-AE0B-480B-9256-AC86F43D41D9}">
      <text>
        <t>[Threaded comment]
Your version of Excel allows you to read this threaded comment; however, any edits to it will get removed if the file is opened in a newer version of Excel. Learn more: https://go.microsoft.com/fwlink/?linkid=870924
Comment:
    Phase 2 estimate. May be a separate project ID.</t>
      </text>
    </comment>
    <comment ref="L28" authorId="4"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6" authorId="5"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7" authorId="6"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8" authorId="7"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tc={85245034-B175-4331-A4C4-D9D0079EF84F}</author>
  </authors>
  <commentList>
    <comment ref="E38" authorId="0" shapeId="0" xr:uid="{85245034-B175-4331-A4C4-D9D0079EF84F}">
      <text>
        <t>[Threaded comment]
Your version of Excel allows you to read this threaded comment; however, any edits to it will get removed if the file is opened in a newer version of Excel. Learn more: https://go.microsoft.com/fwlink/?linkid=870924
Comment:
    Preliminary cost estimates presented in three options. $4M - $5M range.</t>
      </text>
    </comment>
  </commentList>
</comments>
</file>

<file path=xl/sharedStrings.xml><?xml version="1.0" encoding="utf-8"?>
<sst xmlns="http://schemas.openxmlformats.org/spreadsheetml/2006/main" count="1512" uniqueCount="427">
  <si>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</si>
  <si>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</si>
  <si>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</si>
  <si>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</si>
  <si>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</si>
  <si>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</si>
  <si>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</si>
  <si>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</si>
  <si>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</si>
  <si>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</si>
  <si>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</si>
  <si>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</si>
  <si>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</si>
  <si>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</si>
  <si>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</si>
  <si>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</si>
  <si>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</si>
  <si>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</si>
  <si>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</si>
  <si>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</si>
  <si>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</si>
  <si>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</si>
  <si>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</si>
  <si>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</si>
  <si>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</si>
  <si>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</si>
  <si>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</si>
  <si>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</si>
  <si>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</si>
  <si>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</si>
  <si>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</si>
  <si>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</si>
  <si>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</si>
  <si>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</si>
  <si>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</si>
  <si>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</si>
  <si>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</si>
  <si>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</si>
  <si>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</si>
  <si>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</si>
  <si>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</si>
  <si>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</si>
  <si>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</si>
  <si>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</si>
  <si>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</si>
  <si>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</si>
  <si>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</si>
  <si>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</si>
  <si>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</si>
  <si>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</si>
  <si>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</si>
  <si>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</si>
  <si>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</si>
  <si>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</si>
  <si>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</si>
  <si>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</si>
  <si>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</si>
  <si>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</si>
  <si>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</si>
  <si>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</si>
  <si>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</si>
  <si>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</si>
  <si>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</si>
  <si>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</si>
  <si>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</si>
  <si>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</si>
  <si>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</si>
  <si>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</si>
  <si>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</si>
  <si>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</si>
  <si>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</si>
  <si>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</si>
  <si>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</si>
  <si>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</si>
  <si>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</si>
  <si>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</si>
  <si>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</si>
  <si>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</si>
  <si>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</si>
  <si>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</si>
  <si>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</si>
  <si>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</si>
  <si>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</si>
  <si>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</si>
  <si>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</si>
  <si>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</si>
  <si>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</si>
  <si>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</si>
  <si>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</si>
  <si>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</si>
  <si>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</si>
  <si>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</si>
  <si>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</si>
  <si>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</si>
  <si>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</si>
  <si>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</si>
  <si>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</si>
  <si>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</si>
  <si>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</si>
  <si>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</si>
  <si>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</si>
  <si>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</si>
  <si>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</si>
  <si>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</si>
  <si>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</si>
  <si>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</si>
  <si>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</si>
  <si>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</si>
  <si>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</si>
  <si>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</si>
  <si>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</si>
  <si>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</si>
  <si>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</si>
  <si>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</si>
  <si>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</si>
  <si>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</si>
  <si>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</si>
  <si>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</si>
  <si>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</si>
  <si>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</si>
  <si>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</si>
  <si>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</si>
  <si>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</si>
  <si>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</si>
  <si>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</si>
  <si>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</si>
  <si>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</si>
  <si>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</si>
  <si>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</si>
  <si>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</si>
  <si>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</si>
  <si>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</si>
  <si>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</si>
  <si>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</si>
  <si>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</si>
  <si>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</si>
  <si>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</si>
  <si>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</si>
  <si>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</si>
  <si>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</si>
  <si>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</si>
  <si>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</si>
  <si>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</si>
  <si>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</si>
  <si>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</si>
  <si>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</si>
  <si>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</si>
  <si>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</si>
  <si>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</si>
  <si>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</si>
  <si>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</si>
  <si>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</si>
  <si>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</si>
  <si>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</si>
  <si>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</si>
  <si>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</si>
  <si>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</si>
  <si>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</si>
  <si>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</si>
  <si>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</si>
  <si>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</si>
  <si>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</si>
  <si>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</si>
  <si>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</si>
  <si>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</si>
  <si>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</si>
  <si>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</si>
  <si>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</si>
  <si>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</si>
  <si>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</si>
  <si>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</si>
  <si>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</si>
  <si>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</si>
  <si>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</si>
  <si>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</si>
  <si>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</si>
  <si>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</si>
  <si>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</si>
  <si>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</si>
  <si>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</si>
  <si>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</si>
  <si>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</si>
  <si>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</si>
  <si>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</si>
  <si>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</si>
  <si>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</si>
  <si>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</si>
  <si>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</si>
  <si>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</si>
  <si>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</si>
  <si>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</si>
  <si>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</si>
  <si>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</si>
  <si>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</si>
  <si>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</si>
  <si>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</si>
  <si>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</si>
  <si>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</si>
  <si>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</si>
  <si>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</si>
  <si>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</si>
  <si>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</si>
  <si>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</si>
  <si>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</si>
  <si>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</si>
  <si>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</si>
  <si>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</si>
  <si>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</si>
  <si>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</si>
  <si>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</si>
  <si>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</si>
  <si>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</si>
  <si>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</si>
  <si>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</si>
  <si>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</si>
  <si>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</si>
  <si>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</si>
  <si>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</si>
  <si>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</si>
  <si>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</si>
  <si>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</si>
  <si>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</si>
  <si>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</si>
  <si>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</si>
  <si>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</si>
  <si>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</si>
  <si>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</si>
  <si>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</si>
  <si>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</si>
  <si>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</si>
  <si>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Total program - FY23</t>
  </si>
  <si>
    <t>Blair School of Music - Steam Line</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</si>
  <si>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</si>
  <si>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</si>
  <si>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</si>
  <si>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</si>
  <si>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</si>
  <si>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</si>
  <si>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</si>
  <si>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</si>
  <si>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</si>
  <si>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</si>
  <si>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</si>
  <si>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</si>
  <si>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</si>
  <si>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</si>
  <si>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FY24 FRP Estimated</t>
  </si>
  <si>
    <t>Contribution vs. FY23 FRP funding</t>
  </si>
  <si>
    <t>Total program - FY24</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</si>
  <si>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</si>
  <si>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</si>
  <si>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</si>
  <si>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</si>
  <si>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</si>
  <si>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</si>
  <si>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</si>
  <si>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</si>
  <si>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</si>
  <si>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</si>
  <si>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</si>
  <si>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</si>
  <si>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</si>
  <si>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</si>
  <si>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</si>
  <si>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</si>
  <si>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</si>
  <si>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</si>
  <si>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</si>
  <si>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SC4 - Interstitial Space HVAC Modifications</t>
  </si>
  <si>
    <t>Financial Closeout</t>
  </si>
  <si>
    <t>03/22/2023 Project is in closeout.</t>
  </si>
  <si>
    <t>Total transfers from FRP cash</t>
  </si>
  <si>
    <t>crowhus_03312023_FRP</t>
  </si>
  <si>
    <t>CP_400198</t>
  </si>
  <si>
    <t>Keck FEL - Roof Replacement</t>
  </si>
  <si>
    <t>03/24/2023 Working with appropriate parties to determine scope of work.</t>
  </si>
  <si>
    <t>Project Status'!A1</t>
  </si>
  <si>
    <t>JE LOG_FY23'!A1</t>
  </si>
  <si>
    <t>FY25 FRP Estimated</t>
  </si>
  <si>
    <t>crowhus_04302023_FRP</t>
  </si>
  <si>
    <t>Godchaux Hall - HVAC Upgrade</t>
  </si>
  <si>
    <t>Law School - Fire Alarm System Replacement</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</si>
  <si>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</si>
  <si>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</si>
  <si>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</si>
  <si>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</si>
  <si>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</si>
  <si>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</si>
  <si>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</si>
  <si>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</si>
  <si>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</si>
  <si>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</si>
  <si>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</si>
  <si>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</si>
  <si>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</si>
  <si>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</si>
  <si>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</si>
  <si>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</si>
  <si>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</si>
  <si>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</si>
  <si>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</si>
  <si>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</si>
  <si>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</si>
  <si>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</si>
  <si>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</si>
  <si>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</si>
  <si>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</si>
  <si>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</si>
  <si>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</si>
  <si>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</si>
  <si>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</si>
  <si>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Total Contribution</t>
  </si>
  <si>
    <t>FY24 FRP Transferred</t>
  </si>
  <si>
    <t>Carryforward</t>
  </si>
  <si>
    <t>Prior Year Carryforward</t>
  </si>
  <si>
    <t>Available Funds</t>
  </si>
  <si>
    <t>FY23</t>
  </si>
  <si>
    <t>FY24</t>
  </si>
  <si>
    <t>FY23 FRP</t>
  </si>
  <si>
    <t xml:space="preserve">FY23 FRP funding </t>
  </si>
  <si>
    <t xml:space="preserve">FY24 estimated FRP funding </t>
  </si>
  <si>
    <t>JE LOG_FY24'!A1</t>
  </si>
  <si>
    <t>crowhus_08072023_FRP</t>
  </si>
  <si>
    <t>Wilson Hall - HVAC Replacement</t>
  </si>
  <si>
    <t>SC5 - HVAC Replacement</t>
  </si>
  <si>
    <t>Finalized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</si>
  <si>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</si>
  <si>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</si>
  <si>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</si>
  <si>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</si>
  <si>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</si>
  <si>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 PHYSICS &amp; ASTRONOMY</t>
  </si>
  <si>
    <t>SC6 - HVAC Upgrades - Feasibility Study</t>
  </si>
  <si>
    <t>Wyatt Center - HVAC Upgrades - Engineering Study</t>
  </si>
  <si>
    <t>Jay Surprenant</t>
  </si>
  <si>
    <t>08/22/2023 project complete</t>
  </si>
  <si>
    <t>Actual Costs</t>
  </si>
  <si>
    <t>FY23 FRP Cash</t>
  </si>
  <si>
    <t>FY24 FRP Cash</t>
  </si>
  <si>
    <t>Facility Renewal Program: Summary by Project Phase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</si>
  <si>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</si>
  <si>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</si>
  <si>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</si>
  <si>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</si>
  <si>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</si>
  <si>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09/22/2023 Project complete.  Financial closeout process to begin after confirmation that all invoices have been submitted, approved and cleared.</t>
  </si>
  <si>
    <t>Contribution 
to FRP</t>
  </si>
  <si>
    <t>Funded Projects vs. Contribution</t>
  </si>
  <si>
    <t xml:space="preserve">Funded 
Projects </t>
  </si>
  <si>
    <t>Estimed Funded Projects</t>
  </si>
  <si>
    <t>Est. Funded Projects vs. Cont.</t>
  </si>
  <si>
    <t>FY23 FRP 
Funding</t>
  </si>
  <si>
    <t xml:space="preserve">Estimated Funding 
FY24 FRP </t>
  </si>
  <si>
    <t>Vaughn - roof, (phase 2) - summer 2024</t>
  </si>
  <si>
    <t>Check</t>
  </si>
  <si>
    <t>FY26 FRP Estimated</t>
  </si>
  <si>
    <t>FY 2026</t>
  </si>
  <si>
    <t>One Magnolia Circle - Elevator Modernization</t>
  </si>
  <si>
    <t>ONE MAGNOLIA CIRCLE</t>
  </si>
  <si>
    <t>CP_400227</t>
  </si>
  <si>
    <t>crowhus_10312023_FRP</t>
  </si>
  <si>
    <t>Andy Maddox</t>
  </si>
  <si>
    <t>GODCHAUX HALL</t>
  </si>
  <si>
    <t>Divinity Air Handling Unit Replacement, (5/6)- Phase 1</t>
  </si>
  <si>
    <t>Divinity Air Handling Unit Replacement, (1/3) - Phase 2 with Benton</t>
  </si>
  <si>
    <t>SC-7 Chemistry - SG-1 Removal and Connection to Central Plant Steam</t>
  </si>
  <si>
    <t>SC-5 - Chemical Discharge Replacement</t>
  </si>
  <si>
    <t>10/23/2023 Project complete.  Waiting on final invoice to clear to begin the financial closeout process.</t>
  </si>
  <si>
    <t>10/23/2023 On Hold till FY26</t>
  </si>
  <si>
    <t>DB:</t>
  </si>
  <si>
    <t>CR:</t>
  </si>
  <si>
    <t>phase 2</t>
  </si>
  <si>
    <t>phase 1</t>
  </si>
  <si>
    <t>Law School - Exterior Window Painting</t>
  </si>
  <si>
    <t>Blair School of Music - Air Handling Unit Replacement -Phase 1</t>
  </si>
  <si>
    <t>OGSM Old Mechanical- Slate Roof &amp; Window Replacement</t>
  </si>
  <si>
    <t>BIOMOLECULAR NMR</t>
  </si>
  <si>
    <t>11/22/2023 Project complete.  Waiting on final invoice to clear to begin the financial closeout process.</t>
  </si>
  <si>
    <t>11/27/2023 Project is in closeout</t>
  </si>
  <si>
    <t>09/27/2023 This project is on hold until October. We are awaiting approval from the CBO for initial funding which will be repaid by the FRP.</t>
  </si>
  <si>
    <t>NMR - Replace Air Compressors</t>
  </si>
  <si>
    <t>SC7 - Roof replacement (CUI / Stevenson), FY25, HM BB CP to confirm scope and timing ($315k)</t>
  </si>
  <si>
    <t>Godchaux - replace roof [Ben] - wait until after HVAC project completed, FY26 (includes small stairwell section in Frist)</t>
  </si>
  <si>
    <t>crowhus_12192023_FRP</t>
  </si>
  <si>
    <t>WO#</t>
  </si>
  <si>
    <t>`</t>
  </si>
  <si>
    <t>crowhus_01302024_FRP</t>
  </si>
  <si>
    <t>SEIGENTHALER CENTER</t>
  </si>
  <si>
    <t>Seigenthaler Building Conversion</t>
  </si>
  <si>
    <t>Buttrick Hall - Elevator Upgrades</t>
  </si>
  <si>
    <t>Benson Hall - Elevator Upgrades</t>
  </si>
  <si>
    <t>Wilson Hall - Elevator Upgrades</t>
  </si>
  <si>
    <t>Terry Haley</t>
  </si>
  <si>
    <t>Planning</t>
  </si>
  <si>
    <t>01/22/2024 Project has been awarded and we are currently working on getting a PO to Beech</t>
  </si>
  <si>
    <t>01/23/2024 work is complete</t>
  </si>
  <si>
    <t>01/22/2024 Project complete.  Waiting on final invoice to clear to begin the financial closeout process.</t>
  </si>
  <si>
    <t>01/24/2024 Project on schedule and under budget.</t>
  </si>
  <si>
    <t>01/29/2024 The interior fitout was completed in August and A&amp;S is actively occupying the building. Mechanical rooftop units and partial roof replacement will began in December and is substantially complete. Issues with winter construction (roof, RTU's) are being addressed and commissioning is scheduled for February 5th.</t>
  </si>
  <si>
    <t>01/22/2024 Project is in closeout</t>
  </si>
  <si>
    <t>01/22/2024 Project is complete.  Waiting on final invoice to clear to begin the closeout process.</t>
  </si>
  <si>
    <t>01/22/2024 11/22/2023 11/22/2023 updated project costs submitted to Facility Renewal committee...Phase 1 FY25 list</t>
  </si>
  <si>
    <t>01/22/2024 Punchlist items have been discussed with the contractor.  Once items are completed, project is ready to closeout.</t>
  </si>
  <si>
    <t>01/30/2024 We have come up with a solution that fits our budget for the FRP. Will be having a meeting with the Engineering Department in February to explain the plan and get approval before getting CD set started.</t>
  </si>
  <si>
    <t>01/30/2024 Pre-construction is still ongoing. FM Sylvan is working on final pricing and phasing for the project. Project was pushed back to FY25</t>
  </si>
  <si>
    <t>01/22/2024 Project has been awarded, we have received a funding memo, we are awaiting a PO for Burns. Equipment to be ordered in February with project set to start summer 2024.</t>
  </si>
  <si>
    <t>01/30/2024 We had a study review in November. We likely will be able to reduce the size of the replacement unit. Aaron Covey to determine caustics and get back to us on which chemical discharge system we should use.</t>
  </si>
  <si>
    <t>12/18/2023 Project complete.  Waiting on final invoice to clear to begin the financial closeout process.</t>
  </si>
  <si>
    <t>01/31/2024 Construction complete. Library Closeout process complete. The Financial closeout process has been started.</t>
  </si>
  <si>
    <t>01/22/2024 Per Anthony Tharp, SOM is looking at reconfiguring lab spaces which will likely affect the HVAC. He has asked that we hold off until these rearrangements are finalized.  It will be 2Q 2024 before a decision is made.</t>
  </si>
  <si>
    <t>01/22/2024 11/22/2023 10/23/2023 Outside work is scheduled January 2024; Inside work is scheduled for May 2025</t>
  </si>
  <si>
    <t>01/22/2024 Project is complete.  Contractor is working on punch list items.  Once items complete, project is ready to close.</t>
  </si>
  <si>
    <t>01/26/2024 12/18/2023 Waiting budget approval.</t>
  </si>
  <si>
    <t>01/22/2024 Currently working through the PO process.</t>
  </si>
  <si>
    <t>12/18/2023 Construction complete.  Waiting on final invoices to clear to begin the closeout process.</t>
  </si>
  <si>
    <t>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t>
  </si>
  <si>
    <t>01/22/2024 Project study and estimated pricing is complete. Project in closeout.</t>
  </si>
  <si>
    <t>01/22/2024 Study has been completed by Envision. We will be walking the building this week with Beech to get cost estimates for a floor by floor replacement</t>
  </si>
  <si>
    <t>01/22/2024 VUIT is installing their equipment to convert building to VU network.  BoeTel installing cabling for security cameras and WAP's.  Quotes have been received for rekeying building - waiting on approval to proceed from VURE.  Major upgrades waiting until funding is available FY25.</t>
  </si>
  <si>
    <t>01/22/2024 Project is currently out to bid.  Confirming HVAC needs with VUMO.</t>
  </si>
  <si>
    <t>01/22/2024 We have received a quote for equipment. We are sole sourcing the install with Nashville Machine who has already walked the space. Expecting a proposal in January or early February.</t>
  </si>
  <si>
    <t>02/01/2023:  Pricing for design work sent for approval.</t>
  </si>
  <si>
    <t>01/22/2024 VUMO in conversations with School of Law</t>
  </si>
  <si>
    <t>Unallocated Reserve</t>
  </si>
  <si>
    <t>Unalloc reserve</t>
  </si>
  <si>
    <t>FY24 subtotal</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</si>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</sst>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
      <sz val="11"/>
      <color theme="9" tint="-0.249977111117893"/>
      <name val="Calibri"/>
      <family val="2"/>
      <scheme val="minor"/>
    </font>
    <font>
      <i/>
      <strike/>
      <sz val="10"/>
      <name val="Calibri"/>
      <family val="2"/>
      <scheme val="minor"/>
    </font>
    <font>
      <strike/>
      <sz val="11"/>
      <name val="Calibri"/>
      <family val="2"/>
      <scheme val="minor"/>
    </font>
    <font>
      <strike/>
      <u/>
      <sz val="11"/>
      <color theme="8" tint="-0.499984740745262"/>
      <name val="Calibri"/>
      <family val="2"/>
      <scheme val="minor"/>
    </font>
    <font>
      <strike/>
      <sz val="11"/>
      <color theme="1"/>
      <name val="Calibri"/>
      <family val="2"/>
      <scheme val="minor"/>
    </font>
    <font>
      <strike/>
      <sz val="11"/>
      <color theme="9" tint="-0.249977111117893"/>
      <name val="Calibri"/>
      <family val="2"/>
      <scheme val="minor"/>
    </font>
    <font>
      <strike/>
      <u/>
      <sz val="11"/>
      <color theme="10"/>
      <name val="Calibri"/>
      <family val="2"/>
      <scheme val="minor"/>
    </font>
  </fonts>
  <fills count="37">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93"/>
        <bgColor indexed="64"/>
      </patternFill>
    </fill>
    <fill>
      <patternFill patternType="solid">
        <fgColor theme="3" tint="0.59999389629810485"/>
        <bgColor indexed="64"/>
      </patternFill>
    </fill>
    <fill>
      <patternFill patternType="solid">
        <fgColor indexed="9"/>
        <bgColor indexed="64"/>
      </patternFill>
    </fill>
  </fills>
  <borders count="16">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5" borderId="0" applyNumberFormat="0" applyBorder="0" applyAlignment="0" applyProtection="0"/>
    <xf numFmtId="0" fontId="20" fillId="0" borderId="0" applyNumberFormat="0" applyFill="0" applyBorder="0" applyAlignment="0" applyProtection="0"/>
    <xf numFmtId="0" fontId="2"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xf numFmtId="4" fontId="13" fillId="36" borderId="15"/>
  </cellStyleXfs>
  <cellXfs count="270">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3" borderId="0" xfId="4" applyNumberFormat="1" applyFont="1" applyFill="1"/>
    <xf numFmtId="164" fontId="2" fillId="23" borderId="0" xfId="4" applyNumberFormat="1" applyFont="1" applyFill="1" applyAlignment="1">
      <alignment horizontal="center" wrapText="1"/>
    </xf>
    <xf numFmtId="164" fontId="6" fillId="23" borderId="0" xfId="4" applyNumberFormat="1" applyFont="1" applyFill="1"/>
    <xf numFmtId="165" fontId="6" fillId="23" borderId="0" xfId="4" applyNumberFormat="1" applyFont="1" applyFill="1"/>
    <xf numFmtId="165" fontId="0" fillId="24"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6" borderId="6" xfId="1" applyNumberFormat="1" applyFont="1" applyFill="1" applyBorder="1" applyAlignment="1">
      <alignment horizontal="right" vertical="center" readingOrder="1"/>
    </xf>
    <xf numFmtId="164" fontId="8" fillId="26"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0" borderId="0" xfId="14"/>
    <xf numFmtId="164" fontId="1" fillId="30" borderId="0" xfId="14" applyNumberFormat="1"/>
    <xf numFmtId="164" fontId="2" fillId="29" borderId="0" xfId="13" applyNumberFormat="1"/>
    <xf numFmtId="0" fontId="1" fillId="31" borderId="0" xfId="15"/>
    <xf numFmtId="164" fontId="1" fillId="31"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7" borderId="0" xfId="11" applyNumberFormat="1"/>
    <xf numFmtId="0" fontId="1" fillId="28" borderId="0" xfId="12"/>
    <xf numFmtId="164" fontId="1" fillId="28" borderId="0" xfId="12" applyNumberFormat="1"/>
    <xf numFmtId="0" fontId="2" fillId="29" borderId="0" xfId="13" applyAlignment="1">
      <alignment horizontal="center"/>
    </xf>
    <xf numFmtId="0" fontId="2" fillId="2" borderId="0" xfId="3" applyAlignment="1">
      <alignment horizontal="center"/>
    </xf>
    <xf numFmtId="0" fontId="2" fillId="27" borderId="0" xfId="11" applyAlignment="1">
      <alignment horizontal="center"/>
    </xf>
    <xf numFmtId="0" fontId="24" fillId="0" borderId="0" xfId="16" applyFont="1"/>
    <xf numFmtId="0" fontId="0" fillId="31" borderId="0" xfId="15" applyFont="1" applyAlignment="1">
      <alignment horizontal="center"/>
    </xf>
    <xf numFmtId="0" fontId="1" fillId="31" borderId="0" xfId="15" applyAlignment="1">
      <alignment horizontal="center"/>
    </xf>
    <xf numFmtId="0" fontId="1" fillId="30" borderId="0" xfId="14" applyAlignment="1">
      <alignment horizontal="center"/>
    </xf>
    <xf numFmtId="0" fontId="0" fillId="30" borderId="0" xfId="14" applyFont="1" applyAlignment="1">
      <alignment horizontal="center"/>
    </xf>
    <xf numFmtId="0" fontId="1" fillId="28" borderId="0" xfId="12" applyAlignment="1">
      <alignment horizontal="center"/>
    </xf>
    <xf numFmtId="0" fontId="0" fillId="28"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164" fontId="6" fillId="32" borderId="0" xfId="1" applyNumberFormat="1" applyFont="1" applyFill="1" applyBorder="1" applyAlignment="1">
      <alignment horizontal="center" vertical="center" wrapText="1" readingOrder="1"/>
    </xf>
    <xf numFmtId="164" fontId="3"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44" fontId="3" fillId="11" borderId="0" xfId="2" applyFont="1" applyFill="1" applyBorder="1" applyAlignment="1">
      <alignment horizontal="right" vertical="center" readingOrder="1"/>
    </xf>
    <xf numFmtId="164" fontId="2" fillId="2" borderId="0" xfId="3" applyNumberFormat="1" applyAlignment="1">
      <alignment vertical="center"/>
    </xf>
    <xf numFmtId="164" fontId="2" fillId="27" borderId="0" xfId="11" applyNumberFormat="1" applyAlignment="1">
      <alignment vertical="center"/>
    </xf>
    <xf numFmtId="164" fontId="2" fillId="10" borderId="0" xfId="3" applyNumberFormat="1" applyFill="1" applyAlignment="1">
      <alignment vertical="center"/>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3" fillId="34" borderId="6" xfId="1" applyNumberFormat="1" applyFont="1" applyFill="1" applyBorder="1" applyAlignment="1">
      <alignment horizontal="right" vertical="center" readingOrder="1"/>
    </xf>
    <xf numFmtId="164" fontId="0" fillId="34" borderId="0" xfId="1" applyNumberFormat="1" applyFont="1" applyFill="1" applyBorder="1" applyAlignment="1">
      <alignment vertical="center"/>
    </xf>
    <xf numFmtId="168" fontId="2" fillId="23" borderId="0" xfId="4" applyNumberFormat="1" applyFont="1" applyFill="1" applyAlignment="1">
      <alignment horizontal="center" wrapText="1"/>
    </xf>
    <xf numFmtId="164" fontId="0" fillId="11" borderId="0" xfId="1" applyNumberFormat="1" applyFont="1" applyFill="1" applyAlignment="1">
      <alignment horizontal="right"/>
    </xf>
    <xf numFmtId="164" fontId="0" fillId="7" borderId="0" xfId="1" applyNumberFormat="1" applyFont="1" applyFill="1" applyAlignment="1">
      <alignment horizontal="right"/>
    </xf>
    <xf numFmtId="164" fontId="0" fillId="21" borderId="0" xfId="1" applyNumberFormat="1" applyFont="1" applyFill="1" applyAlignment="1">
      <alignment horizontal="right"/>
    </xf>
    <xf numFmtId="164" fontId="2" fillId="3" borderId="0" xfId="3" applyNumberFormat="1" applyFill="1" applyAlignment="1">
      <alignment vertical="center"/>
    </xf>
    <xf numFmtId="164" fontId="2" fillId="3" borderId="0" xfId="11" applyNumberFormat="1" applyFill="1" applyAlignment="1">
      <alignment vertical="center"/>
    </xf>
    <xf numFmtId="164" fontId="2" fillId="3" borderId="0" xfId="11" applyNumberFormat="1" applyFill="1"/>
    <xf numFmtId="0" fontId="2" fillId="3" borderId="0" xfId="11" applyFill="1" applyAlignment="1">
      <alignment horizontal="center"/>
    </xf>
    <xf numFmtId="0" fontId="0" fillId="35" borderId="0" xfId="12" applyFont="1" applyFill="1" applyAlignment="1">
      <alignment horizontal="center"/>
    </xf>
    <xf numFmtId="0" fontId="1" fillId="35" borderId="0" xfId="12" applyFill="1"/>
    <xf numFmtId="164" fontId="1" fillId="35" borderId="0" xfId="12" applyNumberFormat="1" applyFill="1"/>
    <xf numFmtId="0" fontId="1" fillId="35" borderId="0" xfId="12" applyFill="1" applyAlignment="1">
      <alignment horizontal="center"/>
    </xf>
    <xf numFmtId="164" fontId="0" fillId="0" borderId="0" xfId="1" applyNumberFormat="1" applyFont="1" applyFill="1" applyAlignment="1">
      <alignment horizontal="right"/>
    </xf>
    <xf numFmtId="0" fontId="26" fillId="0" borderId="0" xfId="0" applyFont="1" applyAlignment="1">
      <alignment horizontal="center" vertical="center" wrapText="1"/>
    </xf>
    <xf numFmtId="164" fontId="6" fillId="3" borderId="0" xfId="1" applyNumberFormat="1" applyFont="1" applyFill="1" applyBorder="1" applyAlignment="1">
      <alignment horizontal="center" vertical="center" wrapText="1" readingOrder="1"/>
    </xf>
    <xf numFmtId="164" fontId="3" fillId="4" borderId="6" xfId="1" applyNumberFormat="1" applyFont="1" applyFill="1" applyBorder="1" applyAlignment="1">
      <alignment horizontal="right" vertical="center" readingOrder="1"/>
    </xf>
    <xf numFmtId="164" fontId="8" fillId="4" borderId="1" xfId="1" applyNumberFormat="1" applyFont="1" applyFill="1" applyBorder="1" applyAlignment="1">
      <alignment horizontal="right" vertical="center" readingOrder="1"/>
    </xf>
    <xf numFmtId="0" fontId="0" fillId="0" borderId="14" xfId="0" applyBorder="1"/>
    <xf numFmtId="0" fontId="0" fillId="0" borderId="6" xfId="0" applyBorder="1"/>
    <xf numFmtId="0" fontId="27" fillId="0" borderId="6" xfId="0" applyFont="1" applyBorder="1" applyAlignment="1">
      <alignment vertical="center"/>
    </xf>
    <xf numFmtId="0" fontId="28" fillId="0" borderId="6" xfId="0" applyFont="1" applyBorder="1" applyAlignment="1">
      <alignment horizontal="left" vertical="center" readingOrder="1"/>
    </xf>
    <xf numFmtId="0" fontId="29" fillId="0" borderId="6" xfId="10" applyFont="1" applyBorder="1" applyAlignment="1">
      <alignment horizontal="left" vertical="center" readingOrder="1"/>
    </xf>
    <xf numFmtId="0" fontId="28" fillId="14" borderId="6" xfId="0" applyFont="1" applyFill="1" applyBorder="1" applyAlignment="1">
      <alignment horizontal="left" vertical="center" readingOrder="1"/>
    </xf>
    <xf numFmtId="164" fontId="28" fillId="21" borderId="6" xfId="1" applyNumberFormat="1" applyFont="1" applyFill="1" applyBorder="1" applyAlignment="1">
      <alignment horizontal="right" vertical="center" readingOrder="1"/>
    </xf>
    <xf numFmtId="164" fontId="28" fillId="7" borderId="6" xfId="1" applyNumberFormat="1" applyFont="1" applyFill="1" applyBorder="1" applyAlignment="1">
      <alignment horizontal="right" vertical="center" readingOrder="1"/>
    </xf>
    <xf numFmtId="164" fontId="28" fillId="20" borderId="6" xfId="1" applyNumberFormat="1" applyFont="1" applyFill="1" applyBorder="1" applyAlignment="1">
      <alignment horizontal="right" vertical="center" readingOrder="1"/>
    </xf>
    <xf numFmtId="164" fontId="28" fillId="17" borderId="6" xfId="1" applyNumberFormat="1" applyFont="1" applyFill="1" applyBorder="1" applyAlignment="1">
      <alignment horizontal="right" vertical="center" readingOrder="1"/>
    </xf>
    <xf numFmtId="164" fontId="28" fillId="33" borderId="6" xfId="1" applyNumberFormat="1" applyFont="1" applyFill="1" applyBorder="1" applyAlignment="1">
      <alignment horizontal="right" vertical="center" readingOrder="1"/>
    </xf>
    <xf numFmtId="164" fontId="28" fillId="26" borderId="6" xfId="1" applyNumberFormat="1" applyFont="1" applyFill="1" applyBorder="1" applyAlignment="1">
      <alignment horizontal="right" vertical="center" readingOrder="1"/>
    </xf>
    <xf numFmtId="164" fontId="28" fillId="4" borderId="6" xfId="1" applyNumberFormat="1" applyFont="1" applyFill="1" applyBorder="1" applyAlignment="1">
      <alignment horizontal="right" vertical="center" readingOrder="1"/>
    </xf>
    <xf numFmtId="0" fontId="30" fillId="0" borderId="0" xfId="0" applyFont="1"/>
    <xf numFmtId="0" fontId="28" fillId="0" borderId="0" xfId="0" applyFont="1" applyAlignment="1">
      <alignment vertical="center"/>
    </xf>
    <xf numFmtId="0" fontId="32" fillId="0" borderId="6" xfId="10" applyFont="1" applyBorder="1" applyAlignment="1">
      <alignment horizontal="left" vertical="center" readingOrder="1"/>
    </xf>
    <xf numFmtId="0" fontId="30" fillId="0" borderId="6" xfId="0" applyFont="1" applyBorder="1"/>
    <xf numFmtId="14" fontId="0" fillId="0" borderId="0" xfId="0" applyNumberFormat="1" applyAlignment="1">
      <alignment horizontal="left"/>
    </xf>
    <xf numFmtId="0" fontId="0" fillId="0" borderId="3" xfId="0" applyBorder="1" applyAlignment="1">
      <alignment horizontal="center"/>
    </xf>
    <xf numFmtId="164" fontId="3" fillId="0" borderId="0" xfId="1" applyNumberFormat="1" applyFont="1"/>
    <xf numFmtId="0" fontId="0" fillId="0" borderId="0" xfId="0" applyAlignment="1">
      <alignment horizontal="right"/>
    </xf>
    <xf numFmtId="14" fontId="0" fillId="0" borderId="0" xfId="0" applyNumberFormat="1" applyAlignment="1">
      <alignment horizontal="right"/>
    </xf>
    <xf numFmtId="0" fontId="26" fillId="0" borderId="0" xfId="0" applyFont="1" applyAlignment="1">
      <alignment horizontal="center" vertical="center"/>
    </xf>
    <xf numFmtId="0" fontId="31" fillId="0" borderId="0" xfId="0" applyFont="1" applyAlignment="1">
      <alignment horizontal="center" vertical="center"/>
    </xf>
    <xf numFmtId="164" fontId="0" fillId="0" borderId="2" xfId="1" applyNumberFormat="1" applyFont="1" applyBorder="1"/>
    <xf numFmtId="164" fontId="0" fillId="0" borderId="2" xfId="0" applyNumberFormat="1" applyBorder="1"/>
    <xf numFmtId="164" fontId="0" fillId="34" borderId="0" xfId="0" applyNumberFormat="1" applyFill="1"/>
    <xf numFmtId="164" fontId="2" fillId="2" borderId="0" xfId="3" applyNumberFormat="1" applyAlignment="1">
      <alignment vertical="center" wrapText="1"/>
    </xf>
    <xf numFmtId="0" fontId="22" fillId="3" borderId="0" xfId="3" applyFont="1" applyFill="1" applyAlignment="1">
      <alignment horizontal="center" vertical="center" textRotation="255"/>
    </xf>
    <xf numFmtId="164" fontId="2" fillId="3" borderId="0" xfId="11" applyNumberFormat="1" applyFill="1" applyAlignment="1">
      <alignment horizontal="center" vertical="center"/>
    </xf>
    <xf numFmtId="164" fontId="2" fillId="3" borderId="0" xfId="3" applyNumberFormat="1" applyFill="1" applyAlignment="1">
      <alignment horizontal="center" vertical="center" wrapText="1"/>
    </xf>
    <xf numFmtId="164" fontId="2" fillId="29" borderId="0" xfId="13" applyNumberFormat="1" applyAlignment="1">
      <alignment horizontal="center" vertical="center"/>
    </xf>
    <xf numFmtId="0" fontId="22" fillId="29"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 borderId="0" xfId="3" applyNumberFormat="1" applyAlignment="1">
      <alignment horizontal="center" vertical="center" wrapText="1"/>
    </xf>
    <xf numFmtId="164" fontId="2" fillId="10" borderId="0" xfId="3" applyNumberFormat="1" applyFill="1" applyAlignment="1">
      <alignment horizontal="center" vertical="center" wrapText="1"/>
    </xf>
    <xf numFmtId="164" fontId="2" fillId="27" borderId="0" xfId="11" applyNumberFormat="1" applyAlignment="1">
      <alignment horizontal="center" vertical="center"/>
    </xf>
  </cellXfs>
  <cellStyles count="18">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DEG_Basic_White_Cell_Amount" xfId="17" xr:uid="{7EABB1BF-23AD-4DE9-9EF8-0F50A52DBDC9}"/>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microsoft.com/office/2007/relationships/slicerCache" Target="slicerCaches/slicerCache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microsoft.com/office/2007/relationships/slicerCache" Target="slicerCaches/slicerCache1.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microsoft.com/office/2007/relationships/slicerCache" Target="slicerCaches/slicerCache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microsoft.com/office/2007/relationships/slicerCache" Target="slicerCaches/slicerCache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pivotCacheDefinition" Target="pivotCache/pivotCacheDefinition1.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0.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 Id="rId5" Type="http://schemas.openxmlformats.org/officeDocument/2006/relationships/image" Target="../media/image24.png"/><Relationship Id="rId4" Type="http://schemas.openxmlformats.org/officeDocument/2006/relationships/image" Target="../media/image2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29937</xdr:colOff>
      <xdr:row>33</xdr:row>
      <xdr:rowOff>121104</xdr:rowOff>
    </xdr:from>
    <xdr:to>
      <xdr:col>4</xdr:col>
      <xdr:colOff>1076325</xdr:colOff>
      <xdr:row>36</xdr:row>
      <xdr:rowOff>66676</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29937" y="6474279"/>
          <a:ext cx="5504088" cy="4884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funded projects is anticipated</a:t>
          </a:r>
          <a:r>
            <a:rPr lang="en-US" sz="1050" baseline="0"/>
            <a:t> </a:t>
          </a:r>
          <a:r>
            <a:rPr lang="en-US" sz="1050"/>
            <a:t>funding to be transferred back to the school for approved FRP projects from FRP program funds. </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17</xdr:col>
      <xdr:colOff>2159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5442</xdr:rowOff>
    </xdr:from>
    <xdr:to>
      <xdr:col>17</xdr:col>
      <xdr:colOff>1</xdr:colOff>
      <xdr:row>16</xdr:row>
      <xdr:rowOff>122722</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31479" y="1670956"/>
          <a:ext cx="5216980" cy="1409966"/>
        </a:xfrm>
        <a:prstGeom prst="rect">
          <a:avLst/>
        </a:prstGeom>
        <a:ln>
          <a:solidFill>
            <a:schemeClr val="accent2"/>
          </a:solidFill>
        </a:ln>
      </xdr:spPr>
    </xdr:pic>
    <xdr:clientData/>
  </xdr:twoCellAnchor>
  <xdr:twoCellAnchor editAs="oneCell">
    <xdr:from>
      <xdr:col>9</xdr:col>
      <xdr:colOff>32657</xdr:colOff>
      <xdr:row>17</xdr:row>
      <xdr:rowOff>51010</xdr:rowOff>
    </xdr:from>
    <xdr:to>
      <xdr:col>16</xdr:col>
      <xdr:colOff>608904</xdr:colOff>
      <xdr:row>24</xdr:row>
      <xdr:rowOff>122454</xdr:rowOff>
    </xdr:to>
    <xdr:pic>
      <xdr:nvPicPr>
        <xdr:cNvPr id="4" name="Picture 3">
          <a:extLst>
            <a:ext uri="{FF2B5EF4-FFF2-40B4-BE49-F238E27FC236}">
              <a16:creationId xmlns:a16="http://schemas.microsoft.com/office/drawing/2014/main" id="{476315D3-AA5E-605E-B457-C410F06134F0}"/>
            </a:ext>
          </a:extLst>
        </xdr:cNvPr>
        <xdr:cNvPicPr>
          <a:picLocks noChangeAspect="1"/>
        </xdr:cNvPicPr>
      </xdr:nvPicPr>
      <xdr:blipFill>
        <a:blip xmlns:r="http://schemas.openxmlformats.org/officeDocument/2006/relationships" r:embed="rId3"/>
        <a:stretch>
          <a:fillRect/>
        </a:stretch>
      </xdr:blipFill>
      <xdr:spPr>
        <a:xfrm>
          <a:off x="6955971" y="3196982"/>
          <a:ext cx="5176822" cy="1364130"/>
        </a:xfrm>
        <a:prstGeom prst="rect">
          <a:avLst/>
        </a:prstGeom>
        <a:ln>
          <a:solidFill>
            <a:schemeClr val="accent2"/>
          </a:solidFill>
        </a:ln>
      </xdr:spPr>
    </xdr:pic>
    <xdr:clientData/>
  </xdr:twoCellAnchor>
  <xdr:twoCellAnchor editAs="oneCell">
    <xdr:from>
      <xdr:col>9</xdr:col>
      <xdr:colOff>16331</xdr:colOff>
      <xdr:row>25</xdr:row>
      <xdr:rowOff>19050</xdr:rowOff>
    </xdr:from>
    <xdr:to>
      <xdr:col>17</xdr:col>
      <xdr:colOff>1359</xdr:colOff>
      <xdr:row>32</xdr:row>
      <xdr:rowOff>141927</xdr:rowOff>
    </xdr:to>
    <xdr:pic>
      <xdr:nvPicPr>
        <xdr:cNvPr id="5" name="Picture 4">
          <a:extLst>
            <a:ext uri="{FF2B5EF4-FFF2-40B4-BE49-F238E27FC236}">
              <a16:creationId xmlns:a16="http://schemas.microsoft.com/office/drawing/2014/main" id="{B41271F2-15EC-0FD3-C38E-38F247E387DE}"/>
            </a:ext>
          </a:extLst>
        </xdr:cNvPr>
        <xdr:cNvPicPr>
          <a:picLocks noChangeAspect="1"/>
        </xdr:cNvPicPr>
      </xdr:nvPicPr>
      <xdr:blipFill>
        <a:blip xmlns:r="http://schemas.openxmlformats.org/officeDocument/2006/relationships" r:embed="rId4"/>
        <a:stretch>
          <a:fillRect/>
        </a:stretch>
      </xdr:blipFill>
      <xdr:spPr>
        <a:xfrm>
          <a:off x="6931481" y="4543425"/>
          <a:ext cx="5203370" cy="1391060"/>
        </a:xfrm>
        <a:prstGeom prst="rect">
          <a:avLst/>
        </a:prstGeom>
        <a:ln>
          <a:solidFill>
            <a:schemeClr val="accent2"/>
          </a:solidFill>
        </a:ln>
      </xdr:spPr>
    </xdr:pic>
    <xdr:clientData/>
  </xdr:twoCellAnchor>
  <xdr:twoCellAnchor editAs="oneCell">
    <xdr:from>
      <xdr:col>9</xdr:col>
      <xdr:colOff>8164</xdr:colOff>
      <xdr:row>33</xdr:row>
      <xdr:rowOff>19050</xdr:rowOff>
    </xdr:from>
    <xdr:to>
      <xdr:col>17</xdr:col>
      <xdr:colOff>1358</xdr:colOff>
      <xdr:row>40</xdr:row>
      <xdr:rowOff>125182</xdr:rowOff>
    </xdr:to>
    <xdr:pic>
      <xdr:nvPicPr>
        <xdr:cNvPr id="6" name="Picture 5">
          <a:extLst>
            <a:ext uri="{FF2B5EF4-FFF2-40B4-BE49-F238E27FC236}">
              <a16:creationId xmlns:a16="http://schemas.microsoft.com/office/drawing/2014/main" id="{A8C66A8A-EDA9-4523-EEBE-02065A626E24}"/>
            </a:ext>
          </a:extLst>
        </xdr:cNvPr>
        <xdr:cNvPicPr>
          <a:picLocks noChangeAspect="1"/>
        </xdr:cNvPicPr>
      </xdr:nvPicPr>
      <xdr:blipFill>
        <a:blip xmlns:r="http://schemas.openxmlformats.org/officeDocument/2006/relationships" r:embed="rId5"/>
        <a:stretch>
          <a:fillRect/>
        </a:stretch>
      </xdr:blipFill>
      <xdr:spPr>
        <a:xfrm>
          <a:off x="6923314" y="5991225"/>
          <a:ext cx="5211536" cy="1371599"/>
        </a:xfrm>
        <a:prstGeom prst="rect">
          <a:avLst/>
        </a:prstGeom>
        <a:ln>
          <a:solidFill>
            <a:schemeClr val="accent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29936</xdr:colOff>
      <xdr:row>51</xdr:row>
      <xdr:rowOff>58510</xdr:rowOff>
    </xdr:from>
    <xdr:to>
      <xdr:col>7</xdr:col>
      <xdr:colOff>914400</xdr:colOff>
      <xdr:row>54</xdr:row>
      <xdr:rowOff>9526</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268061" y="8392885"/>
          <a:ext cx="10628539" cy="493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total budget represents the best rough order of magnitude for total project costs.</a:t>
          </a:r>
        </a:p>
        <a:p>
          <a:pPr algn="l"/>
          <a:r>
            <a:rPr lang="en-US" sz="1050"/>
            <a:t>(2) - FYxx FRP funding indicates </a:t>
          </a:r>
          <a:r>
            <a:rPr lang="en-US" sz="1100">
              <a:solidFill>
                <a:schemeClr val="dk1"/>
              </a:solidFill>
              <a:effectLst/>
              <a:latin typeface="+mn-lt"/>
              <a:ea typeface="+mn-ea"/>
              <a:cs typeface="+mn-cs"/>
            </a:rPr>
            <a:t>anticipated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funding to be transferred back to the school for approved FRP projects from FRP program funds. </a:t>
          </a:r>
          <a:endParaRPr lang="en-US" sz="105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370110</xdr:colOff>
      <xdr:row>10</xdr:row>
      <xdr:rowOff>163364</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17688</xdr:colOff>
      <xdr:row>4</xdr:row>
      <xdr:rowOff>8164</xdr:rowOff>
    </xdr:from>
    <xdr:to>
      <xdr:col>7</xdr:col>
      <xdr:colOff>16329</xdr:colOff>
      <xdr:row>20</xdr:row>
      <xdr:rowOff>29953</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16328</xdr:rowOff>
    </xdr:from>
    <xdr:to>
      <xdr:col>17</xdr:col>
      <xdr:colOff>257175</xdr:colOff>
      <xdr:row>19</xdr:row>
      <xdr:rowOff>28575</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120650</xdr:colOff>
      <xdr:row>57</xdr:row>
      <xdr:rowOff>82550</xdr:rowOff>
    </xdr:from>
    <xdr:to>
      <xdr:col>9</xdr:col>
      <xdr:colOff>1027682</xdr:colOff>
      <xdr:row>71</xdr:row>
      <xdr:rowOff>142783</xdr:rowOff>
    </xdr:to>
    <xdr:pic>
      <xdr:nvPicPr>
        <xdr:cNvPr id="2" name="Picture 1">
          <a:extLst>
            <a:ext uri="{FF2B5EF4-FFF2-40B4-BE49-F238E27FC236}">
              <a16:creationId xmlns:a16="http://schemas.microsoft.com/office/drawing/2014/main" id="{FD45EF97-3C27-4D0E-9765-0FD287D8E672}"/>
            </a:ext>
          </a:extLst>
        </xdr:cNvPr>
        <xdr:cNvPicPr>
          <a:picLocks noChangeAspect="1"/>
        </xdr:cNvPicPr>
      </xdr:nvPicPr>
      <xdr:blipFill>
        <a:blip xmlns:r="http://schemas.openxmlformats.org/officeDocument/2006/relationships" r:embed="rId1"/>
        <a:stretch>
          <a:fillRect/>
        </a:stretch>
      </xdr:blipFill>
      <xdr:spPr>
        <a:xfrm>
          <a:off x="1210733" y="9999133"/>
          <a:ext cx="5426115" cy="2725872"/>
        </a:xfrm>
        <a:prstGeom prst="rect">
          <a:avLst/>
        </a:prstGeom>
        <a:ln>
          <a:solidFill>
            <a:schemeClr val="accent4">
              <a:lumMod val="50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11830</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521899</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13</xdr:col>
      <xdr:colOff>440897</xdr:colOff>
      <xdr:row>58</xdr:row>
      <xdr:rowOff>9107</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83306</xdr:colOff>
      <xdr:row>22</xdr:row>
      <xdr:rowOff>107194</xdr:rowOff>
    </xdr:from>
    <xdr:to>
      <xdr:col>5</xdr:col>
      <xdr:colOff>428798</xdr:colOff>
      <xdr:row>60</xdr:row>
      <xdr:rowOff>167424</xdr:rowOff>
    </xdr:to>
    <xdr:pic>
      <xdr:nvPicPr>
        <xdr:cNvPr id="3" name="Picture 2">
          <a:extLst>
            <a:ext uri="{FF2B5EF4-FFF2-40B4-BE49-F238E27FC236}">
              <a16:creationId xmlns:a16="http://schemas.microsoft.com/office/drawing/2014/main" id="{8B92EBD3-A3F9-5906-BDAD-778C277C26CD}"/>
            </a:ext>
          </a:extLst>
        </xdr:cNvPr>
        <xdr:cNvPicPr>
          <a:picLocks noChangeAspect="1"/>
        </xdr:cNvPicPr>
      </xdr:nvPicPr>
      <xdr:blipFill>
        <a:blip xmlns:r="http://schemas.openxmlformats.org/officeDocument/2006/relationships" r:embed="rId1"/>
        <a:stretch>
          <a:fillRect/>
        </a:stretch>
      </xdr:blipFill>
      <xdr:spPr>
        <a:xfrm>
          <a:off x="83306" y="4065361"/>
          <a:ext cx="8822742" cy="6897063"/>
        </a:xfrm>
        <a:prstGeom prst="rect">
          <a:avLst/>
        </a:prstGeom>
        <a:ln>
          <a:solidFill>
            <a:schemeClr val="accent6"/>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43090</xdr:colOff>
      <xdr:row>21</xdr:row>
      <xdr:rowOff>128513</xdr:rowOff>
    </xdr:from>
    <xdr:to>
      <xdr:col>9</xdr:col>
      <xdr:colOff>548312</xdr:colOff>
      <xdr:row>29</xdr:row>
      <xdr:rowOff>132797</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43090" y="3906763"/>
          <a:ext cx="12536355" cy="1449059"/>
        </a:xfrm>
        <a:prstGeom prst="rect">
          <a:avLst/>
        </a:prstGeom>
        <a:ln w="19050">
          <a:solidFill>
            <a:schemeClr val="accent3"/>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323.695217708337" createdVersion="8" refreshedVersion="8" minRefreshableVersion="3" recordCount="43" xr:uid="{4DC34609-0CBA-4BEE-8D09-85740F976574}">
  <cacheSource type="worksheet">
    <worksheetSource ref="B3:X46" sheet="Project Status"/>
  </cacheSource>
  <cacheFields count="23">
    <cacheField name="Capex / Opex" numFmtId="0">
      <sharedItems count="3">
        <s v="Operating"/>
        <s v="Capital"/>
        <s v="TBD"/>
      </sharedItems>
    </cacheField>
    <cacheField name="eBuilder" numFmtId="0">
      <sharedItems containsMixedTypes="1" containsNumber="1" containsInteger="1" minValue="10085" maxValue="20913"/>
    </cacheField>
    <cacheField name="AiM" numFmtId="0">
      <sharedItems containsString="0" containsBlank="1" containsNumber="1" containsInteger="1" minValue="529" maxValue="36015"/>
    </cacheField>
    <cacheField name="Oracle" numFmtId="0">
      <sharedItems containsBlank="1"/>
    </cacheField>
    <cacheField name="School" numFmtId="0">
      <sharedItems count="10">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 v="10000 - Office of the Chancellor"/>
      </sharedItems>
    </cacheField>
    <cacheField name="Lookup" numFmtId="0">
      <sharedItems count="10">
        <s v="Peabody"/>
        <s v="SOM Basic Sciences"/>
        <s v="Nursing"/>
        <s v="Law"/>
        <s v="Blair"/>
        <s v="Divinity"/>
        <s v="Arts &amp; Science"/>
        <s v="Engineering"/>
        <s v="Owen"/>
        <e v="#N/A"/>
      </sharedItems>
    </cacheField>
    <cacheField name="Building" numFmtId="0">
      <sharedItems count="22">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 v="SEIGENTHALER CENTER"/>
        <s v="BIOMOLECULAR NMR"/>
      </sharedItems>
    </cacheField>
    <cacheField name="Project" numFmtId="0">
      <sharedItems count="43">
        <s v="One Magnolia Circle - Modify/Upgrade Electrical and Grounding"/>
        <s v="MRB III - 4th Floor - Replace Controls (Phase 2)"/>
        <s v="Godchaux Hall - HVAC Upgrade"/>
        <s v="Law School - Fire Alarm System Replacement"/>
        <s v="Blair School of Music - Elevator #3 Modernization"/>
        <s v="Divinity Air Handling Unit Replacement, (5/6)- Phase 1"/>
        <s v="Bryan Building - Swing Space Renovation - A&amp;S Planning"/>
        <s v="Divinity Air Handling Unit Replacement, (1/3) - Phase 2 with Benton"/>
        <s v="Jesup - Roof Replacement"/>
        <s v="Wyatt Center - Window Replacement"/>
        <s v="Wyatt Center - VAV Replacement"/>
        <s v="Keck FEL - Roof Replacement"/>
        <s v="SC Chemistry (SC7) - Elevator 1 &amp; 2 Modernization"/>
        <s v="Wyatt Center - Roof Replacement"/>
        <s v="MRB III - Steam Coil Replacement"/>
        <s v="Blair School of Music - Air Handling Unit Replacement -Phase 1"/>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s v="Owen - Roof Replacement (Third Level)"/>
        <s v="Six Magnolia Circle - Foundation Repairs"/>
        <s v="SC4 - Interstitial Space HVAC Modifications"/>
        <s v="OGSM Old Mechanical- Slate Roof &amp; Window Replacement"/>
        <s v="Law School - Sections 1, 2, &amp; 3  Roof Replacement"/>
        <s v="SC6 - HVAC Upgrades - Feasibility Study"/>
        <s v="Wilson Hall - HVAC Replacement"/>
        <s v="SC5 - HVAC Replacement"/>
        <s v="Wyatt Center - HVAC Upgrades - Engineering Study"/>
        <s v="Seigenthaler Building Conversion"/>
        <s v="One Magnolia Circle - Elevator Modernization"/>
        <s v="NMR - Replace Air Compressors"/>
        <s v="Buttrick Hall - Elevator Upgrades"/>
        <s v="Benson Hall - Elevator Upgrades"/>
        <s v="Wilson Hall - Elevator Upgrades"/>
        <s v="Law School - Exterior Window Painting"/>
      </sharedItems>
    </cacheField>
    <cacheField name="Phase" numFmtId="0">
      <sharedItems count="9">
        <s v="Finalized"/>
        <s v="Financial Closeout"/>
        <s v="Award"/>
        <s v="Warranty or Construction Closeout"/>
        <s v="Construction"/>
        <s v="Not Started"/>
        <s v="Design"/>
        <s v="Bidding"/>
        <s v="Planning"/>
      </sharedItems>
    </cacheField>
    <cacheField name="Manager" numFmtId="0">
      <sharedItems/>
    </cacheField>
    <cacheField name="Estimated total budget" numFmtId="164">
      <sharedItems containsString="0" containsBlank="1" containsNumber="1" minValue="0" maxValue="4650000"/>
    </cacheField>
    <cacheField name="Approved budget" numFmtId="164">
      <sharedItems containsSemiMixedTypes="0" containsString="0" containsNumber="1" minValue="0" maxValue="3800000"/>
    </cacheField>
    <cacheField name="Approved commitments" numFmtId="164">
      <sharedItems containsSemiMixedTypes="0" containsString="0" containsNumber="1" minValue="0" maxValue="3540067.72"/>
    </cacheField>
    <cacheField name="Projected commitments" numFmtId="164">
      <sharedItems containsSemiMixedTypes="0" containsString="0" containsNumber="1" minValue="0" maxValue="3540067.72"/>
    </cacheField>
    <cacheField name="Invoices Approved" numFmtId="164">
      <sharedItems containsSemiMixedTypes="0" containsString="0" containsNumber="1" minValue="0" maxValue="1352423.14"/>
    </cacheField>
    <cacheField name="Unallocated Reserve" numFmtId="164">
      <sharedItems containsString="0" containsBlank="1" containsNumber="1" minValue="0" maxValue="604000"/>
    </cacheField>
    <cacheField name="FY23 FRP Cash Transferred" numFmtId="164">
      <sharedItems containsString="0" containsBlank="1" containsNumber="1" minValue="0" maxValue="1232681"/>
    </cacheField>
    <cacheField name="FY24 FRP Transferred" numFmtId="164">
      <sharedItems containsString="0" containsBlank="1" containsNumber="1" minValue="-44850" maxValue="3660360"/>
    </cacheField>
    <cacheField name="FY24 FRP Estimated" numFmtId="164">
      <sharedItems containsBlank="1" containsMixedTypes="1" containsNumber="1" containsInteger="1" minValue="0" maxValue="2000000"/>
    </cacheField>
    <cacheField name="FY24 FRP Total Contribution" numFmtId="164">
      <sharedItems containsString="0" containsBlank="1" containsNumber="1" minValue="-44850" maxValue="3660360"/>
    </cacheField>
    <cacheField name="FY25 FRP Estimated" numFmtId="164">
      <sharedItems containsBlank="1" containsMixedTypes="1" containsNumber="1" containsInteger="1" minValue="0" maxValue="3200000"/>
    </cacheField>
    <cacheField name="FY26 FRP Estimated" numFmtId="164">
      <sharedItems containsBlank="1" containsMixedTypes="1" containsNumber="1" containsInteger="1" minValue="0" maxValue="3170000"/>
    </cacheField>
    <cacheField name="Project status update" numFmtId="0">
      <sharedItems longText="1"/>
    </cacheField>
  </cacheFields>
  <extLst>
    <ext xmlns:x14="http://schemas.microsoft.com/office/spreadsheetml/2009/9/main" uri="{725AE2AE-9491-48be-B2B4-4EB974FC3084}">
      <x14:pivotCacheDefinition pivotCacheId="134978329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n v="10085"/>
    <n v="4591"/>
    <m/>
    <x v="0"/>
    <x v="0"/>
    <x v="0"/>
    <x v="0"/>
    <x v="0"/>
    <s v="Sean Rewers"/>
    <n v="17500"/>
    <n v="22000"/>
    <n v="17500"/>
    <n v="17500"/>
    <n v="17500"/>
    <n v="0"/>
    <n v="17500"/>
    <n v="0"/>
    <n v="0"/>
    <n v="0"/>
    <n v="0"/>
    <n v="0"/>
    <s v="03/22/2023 Project is in closeout."/>
  </r>
  <r>
    <x v="1"/>
    <n v="10098"/>
    <n v="1627"/>
    <s v="CP_400023"/>
    <x v="1"/>
    <x v="1"/>
    <x v="1"/>
    <x v="1"/>
    <x v="1"/>
    <s v="Hans Mooy"/>
    <n v="1216485.5"/>
    <n v="1216485.5"/>
    <n v="1212084.54"/>
    <n v="1212084.54"/>
    <n v="1212084.54"/>
    <n v="0"/>
    <n v="1216485.5"/>
    <n v="-4400.96"/>
    <n v="0"/>
    <n v="-4400.96"/>
    <n v="0"/>
    <n v="0"/>
    <s v="08/22/2023 project complete"/>
  </r>
  <r>
    <x v="1"/>
    <n v="10146"/>
    <n v="4418"/>
    <s v="CP_400025"/>
    <x v="2"/>
    <x v="2"/>
    <x v="2"/>
    <x v="2"/>
    <x v="2"/>
    <s v="Sean Rewers"/>
    <n v="0"/>
    <n v="318057"/>
    <n v="73600"/>
    <n v="228355.7"/>
    <n v="62100"/>
    <n v="0"/>
    <n v="4900"/>
    <n v="255957"/>
    <n v="0"/>
    <n v="255957"/>
    <n v="0"/>
    <n v="0"/>
    <s v="01/22/2024 Project has been awarded and we are currently working on getting a PO to Beech"/>
  </r>
  <r>
    <x v="1"/>
    <n v="20179"/>
    <n v="36015"/>
    <s v="CP_400024"/>
    <x v="3"/>
    <x v="3"/>
    <x v="3"/>
    <x v="3"/>
    <x v="3"/>
    <s v="Bob Grummon"/>
    <n v="1445389"/>
    <n v="1445389"/>
    <n v="1352423.14"/>
    <n v="1352423.14"/>
    <n v="1352423.14"/>
    <n v="92965.86"/>
    <n v="722694.5"/>
    <n v="0"/>
    <n v="0"/>
    <n v="0"/>
    <n v="0"/>
    <n v="0"/>
    <s v="01/23/2024 work is complete"/>
  </r>
  <r>
    <x v="1"/>
    <n v="20336"/>
    <n v="20075"/>
    <s v="CP_400056"/>
    <x v="4"/>
    <x v="4"/>
    <x v="4"/>
    <x v="4"/>
    <x v="3"/>
    <s v="Ben Bedock"/>
    <n v="327890"/>
    <n v="327890"/>
    <n v="280600"/>
    <n v="280600"/>
    <n v="280600"/>
    <n v="47290"/>
    <n v="327890"/>
    <n v="0"/>
    <n v="0"/>
    <n v="0"/>
    <n v="0"/>
    <n v="0"/>
    <s v="01/22/2024 Project complete.  Waiting on final invoice to clear to begin the financial closeout process."/>
  </r>
  <r>
    <x v="1"/>
    <n v="20431"/>
    <n v="8084"/>
    <s v="CP_400108"/>
    <x v="5"/>
    <x v="5"/>
    <x v="5"/>
    <x v="5"/>
    <x v="4"/>
    <s v="Hans Mooy"/>
    <n v="3800000"/>
    <n v="3800000"/>
    <n v="3540067.72"/>
    <n v="3540067.72"/>
    <n v="123926.15"/>
    <n v="126060"/>
    <n v="69862.5"/>
    <n v="3660360"/>
    <n v="0"/>
    <n v="3660360"/>
    <n v="0"/>
    <n v="0"/>
    <s v="01/24/2024 Project on schedule and under budget."/>
  </r>
  <r>
    <x v="1"/>
    <n v="20478"/>
    <n v="8672"/>
    <s v="CP_400182"/>
    <x v="6"/>
    <x v="6"/>
    <x v="6"/>
    <x v="6"/>
    <x v="3"/>
    <s v="Cathy Bartlett"/>
    <n v="2790000"/>
    <n v="2790000"/>
    <n v="2467964.41"/>
    <n v="2467964.41"/>
    <n v="1164380.99"/>
    <n v="604000"/>
    <n v="81100"/>
    <n v="1028900"/>
    <n v="0"/>
    <n v="1028900"/>
    <n v="0"/>
    <n v="0"/>
    <s v="01/29/2024 The interior fitout was completed in August and A&amp;S is actively occupying the building. Mechanical rooftop units and partial roof replacement will began in December and is substantially complete. Issues with winter construction (roof, RTU's) are being addressed and commissioning is scheduled for February 5th."/>
  </r>
  <r>
    <x v="1"/>
    <n v="20489"/>
    <n v="8051"/>
    <s v="CP_400183"/>
    <x v="5"/>
    <x v="5"/>
    <x v="5"/>
    <x v="7"/>
    <x v="5"/>
    <s v="Hans Mooy"/>
    <n v="4650000"/>
    <n v="26500"/>
    <n v="15895"/>
    <n v="15895"/>
    <n v="14407.5"/>
    <n v="3000"/>
    <n v="26500"/>
    <n v="0"/>
    <n v="0"/>
    <n v="0"/>
    <n v="0"/>
    <n v="3170000"/>
    <s v="10/23/2023 On Hold till FY26"/>
  </r>
  <r>
    <x v="1"/>
    <n v="20497"/>
    <n v="529"/>
    <s v="CP_400127"/>
    <x v="0"/>
    <x v="0"/>
    <x v="7"/>
    <x v="8"/>
    <x v="0"/>
    <s v="Ben Bedock"/>
    <n v="456850"/>
    <n v="456850"/>
    <n v="412000"/>
    <n v="412000"/>
    <n v="412000"/>
    <n v="0"/>
    <n v="79415.5"/>
    <n v="-44850"/>
    <n v="0"/>
    <n v="-44850"/>
    <n v="0"/>
    <n v="0"/>
    <s v="09/22/2023 Project complete.  Financial closeout process to begin after confirmation that all invoices have been submitted, approved and cleared."/>
  </r>
  <r>
    <x v="1"/>
    <n v="20506"/>
    <n v="1170"/>
    <s v="CP_400192"/>
    <x v="0"/>
    <x v="0"/>
    <x v="8"/>
    <x v="9"/>
    <x v="0"/>
    <s v="Ben Bedock"/>
    <n v="344155.26"/>
    <n v="344155.26"/>
    <n v="307776.26"/>
    <n v="307776.26"/>
    <n v="307776.26"/>
    <n v="0"/>
    <n v="344155.26"/>
    <n v="-36379"/>
    <n v="0"/>
    <n v="-36379"/>
    <n v="0"/>
    <n v="0"/>
    <s v="09/22/2023 Project complete.  Financial closeout process to begin after confirmation that all invoices have been submitted, approved and cleared."/>
  </r>
  <r>
    <x v="1"/>
    <n v="20562"/>
    <n v="4564"/>
    <s v="CP_400175"/>
    <x v="0"/>
    <x v="0"/>
    <x v="8"/>
    <x v="10"/>
    <x v="3"/>
    <s v="Sean Rewers"/>
    <n v="400000"/>
    <n v="405791"/>
    <n v="362559.64"/>
    <n v="362559.64"/>
    <n v="362559.64"/>
    <n v="43231.26"/>
    <n v="405791"/>
    <n v="0"/>
    <n v="0"/>
    <n v="0"/>
    <n v="0"/>
    <n v="0"/>
    <s v="01/22/2024 Project is in closeout"/>
  </r>
  <r>
    <x v="2"/>
    <n v="20563"/>
    <n v="4624"/>
    <m/>
    <x v="7"/>
    <x v="7"/>
    <x v="9"/>
    <x v="11"/>
    <x v="5"/>
    <s v="Ben Bedock"/>
    <n v="386000"/>
    <n v="0"/>
    <n v="0"/>
    <n v="0"/>
    <n v="0"/>
    <n v="0"/>
    <n v="0"/>
    <n v="0"/>
    <n v="0"/>
    <n v="0"/>
    <n v="0"/>
    <s v="TBD"/>
    <s v="03/24/2023 Working with appropriate parties to determine scope of work."/>
  </r>
  <r>
    <x v="1"/>
    <n v="20566"/>
    <n v="20054"/>
    <s v="CP_400151"/>
    <x v="6"/>
    <x v="6"/>
    <x v="10"/>
    <x v="12"/>
    <x v="1"/>
    <s v="Ben Bedock"/>
    <n v="781870"/>
    <n v="781870"/>
    <n v="722586.68"/>
    <n v="722586.68"/>
    <n v="722586.68"/>
    <n v="59283.32"/>
    <n v="781870"/>
    <n v="0"/>
    <n v="0"/>
    <n v="0"/>
    <n v="0"/>
    <n v="0"/>
    <s v="11/22/2023 Project complete.  Waiting on final invoice to clear to begin the financial closeout process."/>
  </r>
  <r>
    <x v="1"/>
    <n v="20573"/>
    <n v="8047"/>
    <s v="CP_400185"/>
    <x v="0"/>
    <x v="0"/>
    <x v="8"/>
    <x v="13"/>
    <x v="3"/>
    <s v="Ben Bedock"/>
    <n v="1232681"/>
    <n v="1232681"/>
    <n v="1113460"/>
    <n v="1113460"/>
    <n v="1113460"/>
    <n v="119221"/>
    <n v="1232681"/>
    <n v="0"/>
    <n v="0"/>
    <n v="0"/>
    <n v="0"/>
    <n v="0"/>
    <s v="01/22/2024 Project is complete.  Waiting on final invoice to clear to begin the closeout process."/>
  </r>
  <r>
    <x v="1"/>
    <n v="20574"/>
    <n v="8145"/>
    <s v="CP_400164"/>
    <x v="1"/>
    <x v="1"/>
    <x v="1"/>
    <x v="14"/>
    <x v="3"/>
    <s v="Sean Rewers"/>
    <n v="218202"/>
    <n v="218202"/>
    <n v="195665"/>
    <n v="195665"/>
    <n v="195665"/>
    <n v="22537"/>
    <n v="218202"/>
    <n v="0"/>
    <n v="0"/>
    <n v="0"/>
    <n v="0"/>
    <n v="0"/>
    <s v="01/22/2024 Project is in closeout"/>
  </r>
  <r>
    <x v="1"/>
    <n v="20577"/>
    <n v="8146"/>
    <s v="CP_400154"/>
    <x v="4"/>
    <x v="4"/>
    <x v="4"/>
    <x v="15"/>
    <x v="6"/>
    <s v="Hans Mooy"/>
    <n v="1500000"/>
    <n v="223000"/>
    <n v="220566.21"/>
    <n v="220566.21"/>
    <n v="185191.21"/>
    <n v="81"/>
    <n v="223000"/>
    <n v="0"/>
    <n v="0"/>
    <n v="0"/>
    <n v="1500000"/>
    <n v="2510000"/>
    <s v="01/22/2024 11/22/2023 11/22/2023 updated project costs submitted to Facility Renewal committee...Phase 1 FY25 list"/>
  </r>
  <r>
    <x v="1"/>
    <n v="20644"/>
    <n v="8241"/>
    <s v="CP_400171"/>
    <x v="0"/>
    <x v="0"/>
    <x v="11"/>
    <x v="16"/>
    <x v="1"/>
    <s v="Ben Bedock"/>
    <n v="630554"/>
    <n v="630554"/>
    <n v="571789"/>
    <n v="571789"/>
    <n v="569739"/>
    <n v="58765"/>
    <n v="630554"/>
    <n v="0"/>
    <n v="0"/>
    <n v="0"/>
    <n v="0"/>
    <n v="0"/>
    <s v="10/23/2023 Project complete.  Waiting on final invoice to clear to begin the financial closeout process."/>
  </r>
  <r>
    <x v="0"/>
    <n v="20645"/>
    <n v="8239"/>
    <m/>
    <x v="6"/>
    <x v="6"/>
    <x v="12"/>
    <x v="17"/>
    <x v="3"/>
    <s v="Ben Bedock"/>
    <n v="125875"/>
    <n v="125875"/>
    <n v="114350"/>
    <n v="114350"/>
    <n v="112250"/>
    <n v="11225"/>
    <n v="125875"/>
    <n v="0"/>
    <n v="0"/>
    <n v="0"/>
    <n v="0"/>
    <n v="0"/>
    <s v="01/22/2024 Punchlist items have been discussed with the contractor.  Once items are completed, project is ready to closeout."/>
  </r>
  <r>
    <x v="1"/>
    <n v="20667"/>
    <n v="8168"/>
    <s v="CP_400160"/>
    <x v="7"/>
    <x v="7"/>
    <x v="13"/>
    <x v="18"/>
    <x v="6"/>
    <s v="Sean Rewers"/>
    <n v="0"/>
    <n v="146500"/>
    <n v="146500"/>
    <n v="146500"/>
    <n v="34500"/>
    <n v="0"/>
    <n v="146500"/>
    <n v="0"/>
    <n v="2000000"/>
    <n v="2000000"/>
    <n v="0"/>
    <n v="0"/>
    <s v="01/30/2024 We have come up with a solution that fits our budget for the FRP. Will be having a meeting with the Engineering Department in February to explain the plan and get approval before getting CD set started."/>
  </r>
  <r>
    <x v="1"/>
    <n v="20668"/>
    <n v="8151"/>
    <s v="CP_400163"/>
    <x v="7"/>
    <x v="7"/>
    <x v="9"/>
    <x v="19"/>
    <x v="6"/>
    <s v="Sean Rewers"/>
    <n v="0"/>
    <n v="231433"/>
    <n v="231433"/>
    <n v="231433"/>
    <n v="88415"/>
    <n v="0"/>
    <n v="206500"/>
    <n v="24933"/>
    <n v="0"/>
    <n v="24933"/>
    <s v="TBD"/>
    <n v="0"/>
    <s v="01/30/2024 Pre-construction is still ongoing. FM Sylvan is working on final pricing and phasing for the project. Project was pushed back to FY25"/>
  </r>
  <r>
    <x v="1"/>
    <n v="20698"/>
    <n v="1138"/>
    <s v="CP_400168"/>
    <x v="6"/>
    <x v="6"/>
    <x v="14"/>
    <x v="20"/>
    <x v="2"/>
    <s v="Sean Rewers"/>
    <n v="680000"/>
    <n v="678513"/>
    <n v="583771"/>
    <n v="583771"/>
    <n v="21207.5"/>
    <n v="0"/>
    <n v="29250"/>
    <n v="649263"/>
    <n v="0"/>
    <n v="649263"/>
    <n v="0"/>
    <n v="0"/>
    <s v="01/22/2024 Project has been awarded, we have received a funding memo, we are awaiting a PO for Burns. Equipment to be ordered in February with project set to start summer 2024."/>
  </r>
  <r>
    <x v="0"/>
    <n v="20700"/>
    <n v="851"/>
    <m/>
    <x v="6"/>
    <x v="6"/>
    <x v="10"/>
    <x v="21"/>
    <x v="1"/>
    <s v="Sean Rewers"/>
    <n v="80000"/>
    <n v="85577"/>
    <n v="85576.77"/>
    <n v="85576.77"/>
    <n v="85576.77"/>
    <n v="0.23"/>
    <n v="79623"/>
    <n v="5954"/>
    <n v="0"/>
    <n v="5954"/>
    <n v="0"/>
    <n v="0"/>
    <s v="11/27/2023 Project is in closeout"/>
  </r>
  <r>
    <x v="1"/>
    <n v="20701"/>
    <n v="4399"/>
    <s v="CP_400198"/>
    <x v="6"/>
    <x v="6"/>
    <x v="15"/>
    <x v="22"/>
    <x v="6"/>
    <s v="Sean Rewers"/>
    <n v="500000"/>
    <n v="499093"/>
    <n v="18000"/>
    <n v="18000"/>
    <n v="9000"/>
    <n v="20500"/>
    <n v="499093"/>
    <n v="0"/>
    <n v="0"/>
    <n v="0"/>
    <n v="0"/>
    <n v="0"/>
    <s v="01/30/2024 We had a study review in November. We likely will be able to reduce the size of the replacement unit. Aaron Covey to determine caustics and get back to us on which chemical discharge system we should use."/>
  </r>
  <r>
    <x v="1"/>
    <n v="20702"/>
    <n v="8432"/>
    <s v="CP_400165"/>
    <x v="0"/>
    <x v="0"/>
    <x v="8"/>
    <x v="23"/>
    <x v="1"/>
    <s v="Ben Bedock"/>
    <n v="225791"/>
    <n v="239341"/>
    <n v="209419"/>
    <n v="209419"/>
    <n v="209419"/>
    <n v="29922"/>
    <n v="239341"/>
    <n v="0"/>
    <n v="0"/>
    <n v="0"/>
    <n v="0"/>
    <n v="0"/>
    <s v="12/18/2023 Project complete.  Waiting on final invoice to clear to begin the financial closeout process."/>
  </r>
  <r>
    <x v="1"/>
    <n v="20718"/>
    <n v="8608"/>
    <s v="CP_400174"/>
    <x v="6"/>
    <x v="6"/>
    <x v="16"/>
    <x v="24"/>
    <x v="3"/>
    <s v="Erin Fry"/>
    <n v="715000"/>
    <n v="715000"/>
    <n v="651554.6"/>
    <n v="651554.6"/>
    <n v="651346.59"/>
    <n v="63445.4"/>
    <n v="96166"/>
    <n v="0"/>
    <n v="0"/>
    <n v="0"/>
    <n v="0"/>
    <n v="0"/>
    <s v="01/31/2024 Construction complete. Library Closeout process complete. The Financial closeout process has been started."/>
  </r>
  <r>
    <x v="1"/>
    <n v="20723"/>
    <n v="1628"/>
    <s v="CP_400187"/>
    <x v="1"/>
    <x v="1"/>
    <x v="1"/>
    <x v="25"/>
    <x v="6"/>
    <s v="Andy Maddox"/>
    <n v="1610000"/>
    <n v="160500"/>
    <n v="155232.51999999999"/>
    <n v="155232.51999999999"/>
    <n v="138257.51999999999"/>
    <n v="4767"/>
    <n v="160500"/>
    <n v="0"/>
    <n v="0"/>
    <n v="0"/>
    <s v="TBD"/>
    <n v="0"/>
    <s v="01/22/2024 Per Anthony Tharp, SOM is looking at reconfiguring lab spaces which will likely affect the HVAC. He has asked that we hold off until these rearrangements are finalized.  It will be 2Q 2024 before a decision is made."/>
  </r>
  <r>
    <x v="1"/>
    <n v="20724"/>
    <n v="8557"/>
    <s v="CP_400178"/>
    <x v="4"/>
    <x v="4"/>
    <x v="4"/>
    <x v="26"/>
    <x v="4"/>
    <s v="Hans Mooy"/>
    <n v="1987500"/>
    <n v="1987500"/>
    <n v="844823"/>
    <n v="1784625"/>
    <n v="12000"/>
    <n v="0"/>
    <n v="23400"/>
    <n v="1964100"/>
    <n v="0"/>
    <n v="1964100"/>
    <n v="0"/>
    <n v="0"/>
    <s v="01/22/2024 11/22/2023 10/23/2023 Outside work is scheduled January 2024; Inside work is scheduled for May 2025"/>
  </r>
  <r>
    <x v="0"/>
    <n v="20735"/>
    <n v="8226"/>
    <m/>
    <x v="8"/>
    <x v="8"/>
    <x v="17"/>
    <x v="27"/>
    <x v="3"/>
    <s v="Ben Bedock"/>
    <n v="300000"/>
    <n v="300000"/>
    <n v="276500"/>
    <n v="276500"/>
    <n v="260350"/>
    <n v="23500"/>
    <n v="300000"/>
    <n v="0"/>
    <n v="0"/>
    <n v="0"/>
    <n v="0"/>
    <n v="0"/>
    <s v="01/22/2024 Project is complete.  Contractor is working on punch list items.  Once items complete, project is ready to close."/>
  </r>
  <r>
    <x v="0"/>
    <n v="20767"/>
    <n v="8673"/>
    <m/>
    <x v="0"/>
    <x v="0"/>
    <x v="18"/>
    <x v="28"/>
    <x v="7"/>
    <s v="Jay Surprenant"/>
    <n v="81000"/>
    <n v="0"/>
    <n v="0"/>
    <n v="0"/>
    <n v="0"/>
    <n v="0"/>
    <n v="0"/>
    <n v="0"/>
    <n v="81000"/>
    <n v="81000"/>
    <n v="0"/>
    <n v="0"/>
    <s v="01/26/2024 12/18/2023 Waiting budget approval."/>
  </r>
  <r>
    <x v="0"/>
    <n v="20771"/>
    <n v="8674"/>
    <m/>
    <x v="6"/>
    <x v="6"/>
    <x v="10"/>
    <x v="29"/>
    <x v="0"/>
    <s v="Sean Rewers"/>
    <n v="25000"/>
    <n v="24997"/>
    <n v="17972"/>
    <n v="17972"/>
    <n v="17972"/>
    <n v="0"/>
    <n v="24997"/>
    <n v="-7025"/>
    <n v="0"/>
    <n v="-7025"/>
    <n v="0"/>
    <n v="0"/>
    <s v="07/24/2023 Project is complete. I will begin closeout after taking some final photos of the space."/>
  </r>
  <r>
    <x v="1"/>
    <n v="20772"/>
    <n v="8675"/>
    <m/>
    <x v="8"/>
    <x v="8"/>
    <x v="17"/>
    <x v="30"/>
    <x v="2"/>
    <s v="Ben Bedock"/>
    <n v="0"/>
    <n v="0"/>
    <n v="0"/>
    <n v="0"/>
    <n v="0"/>
    <n v="0"/>
    <n v="0"/>
    <n v="0"/>
    <n v="0"/>
    <n v="0"/>
    <n v="3200000"/>
    <n v="0"/>
    <s v="01/22/2024 Currently working through the PO process."/>
  </r>
  <r>
    <x v="1"/>
    <n v="20792"/>
    <n v="1035"/>
    <s v="CP_400206"/>
    <x v="3"/>
    <x v="3"/>
    <x v="3"/>
    <x v="31"/>
    <x v="1"/>
    <s v="Ben Bedock"/>
    <n v="400000"/>
    <n v="483440"/>
    <n v="450775"/>
    <n v="450775"/>
    <n v="450775"/>
    <n v="32665"/>
    <n v="483440"/>
    <n v="0"/>
    <n v="0"/>
    <n v="0"/>
    <n v="0"/>
    <n v="0"/>
    <s v="12/18/2023 Construction complete.  Waiting on final invoices to clear to begin the closeout process."/>
  </r>
  <r>
    <x v="0"/>
    <n v="20831"/>
    <m/>
    <m/>
    <x v="6"/>
    <x v="6"/>
    <x v="19"/>
    <x v="32"/>
    <x v="6"/>
    <s v="Sean Rewers"/>
    <n v="24000"/>
    <n v="24000"/>
    <n v="24000"/>
    <n v="24000"/>
    <n v="12000"/>
    <n v="0"/>
    <n v="0"/>
    <n v="24000"/>
    <n v="0"/>
    <n v="24000"/>
    <n v="0"/>
    <n v="0"/>
    <s v="01/30/2024 Project is in closeout. Study was completed and findings were shared with Provost and A&amp;S. Due to the large scale renovations needed to the building this project will require further planning and cannot be priced our accurately. A&amp;S will present the findings to their dean for further guidance on how to tackle the buildings issues."/>
  </r>
  <r>
    <x v="0"/>
    <n v="20832"/>
    <m/>
    <m/>
    <x v="6"/>
    <x v="6"/>
    <x v="14"/>
    <x v="33"/>
    <x v="1"/>
    <s v="Sean Rewers"/>
    <n v="24000"/>
    <n v="24000"/>
    <n v="24000"/>
    <n v="24000"/>
    <n v="24000"/>
    <n v="0"/>
    <n v="0"/>
    <n v="24000"/>
    <n v="0"/>
    <n v="24000"/>
    <n v="0"/>
    <n v="0"/>
    <s v="01/22/2024 Project study and estimated pricing is complete. Project in closeout."/>
  </r>
  <r>
    <x v="0"/>
    <n v="20833"/>
    <m/>
    <m/>
    <x v="6"/>
    <x v="6"/>
    <x v="15"/>
    <x v="34"/>
    <x v="6"/>
    <s v="Sean Rewers"/>
    <n v="24000"/>
    <n v="24000"/>
    <n v="24000"/>
    <n v="24000"/>
    <n v="12000"/>
    <n v="0"/>
    <n v="0"/>
    <n v="24000"/>
    <n v="0"/>
    <n v="24000"/>
    <n v="0"/>
    <n v="0"/>
    <s v="01/22/2024 Study has been completed by Envision. We will be walking the building this week with Beech to get cost estimates for a floor by floor replacement"/>
  </r>
  <r>
    <x v="0"/>
    <n v="20834"/>
    <m/>
    <m/>
    <x v="0"/>
    <x v="0"/>
    <x v="8"/>
    <x v="35"/>
    <x v="0"/>
    <s v="Sean Rewers"/>
    <n v="5000"/>
    <n v="0"/>
    <n v="0"/>
    <n v="0"/>
    <n v="0"/>
    <n v="0"/>
    <n v="0"/>
    <n v="0"/>
    <n v="0"/>
    <n v="0"/>
    <n v="0"/>
    <n v="0"/>
    <s v="09/27/2023 This project is on hold until October. We are awaiting approval from the CBO for initial funding which will be repaid by the FRP."/>
  </r>
  <r>
    <x v="1"/>
    <n v="20838"/>
    <m/>
    <m/>
    <x v="9"/>
    <x v="9"/>
    <x v="20"/>
    <x v="36"/>
    <x v="6"/>
    <s v="Andy Maddox"/>
    <n v="0"/>
    <n v="0"/>
    <n v="0"/>
    <n v="0"/>
    <n v="0"/>
    <m/>
    <m/>
    <m/>
    <m/>
    <m/>
    <s v="TBD"/>
    <m/>
    <s v="01/22/2024 VUIT is installing their equipment to convert building to VU network.  BoeTel installing cabling for security cameras and WAP's.  Quotes have been received for rekeying building - waiting on approval to proceed from VURE.  Major upgrades waiting until funding is available FY25."/>
  </r>
  <r>
    <x v="1"/>
    <n v="20857"/>
    <m/>
    <s v="CP_400227"/>
    <x v="0"/>
    <x v="0"/>
    <x v="0"/>
    <x v="37"/>
    <x v="7"/>
    <s v="Ben Bedock"/>
    <n v="0"/>
    <n v="21600"/>
    <n v="17600"/>
    <n v="21600"/>
    <n v="0"/>
    <n v="0"/>
    <n v="0"/>
    <n v="21600"/>
    <n v="0"/>
    <n v="21600"/>
    <n v="0"/>
    <n v="0"/>
    <s v="01/22/2024 Project is currently out to bid.  Confirming HVAC needs with VUMO."/>
  </r>
  <r>
    <x v="0"/>
    <n v="20885"/>
    <m/>
    <m/>
    <x v="1"/>
    <x v="1"/>
    <x v="21"/>
    <x v="38"/>
    <x v="7"/>
    <s v="Sean Rewers"/>
    <n v="98341"/>
    <n v="0"/>
    <n v="0"/>
    <n v="0"/>
    <n v="0"/>
    <m/>
    <m/>
    <m/>
    <n v="98341"/>
    <m/>
    <m/>
    <m/>
    <s v="01/22/2024 We have received a quote for equipment. We are sole sourcing the install with Nashville Machine who has already walked the space. Expecting a proposal in January or early February."/>
  </r>
  <r>
    <x v="1"/>
    <n v="20911"/>
    <m/>
    <m/>
    <x v="6"/>
    <x v="6"/>
    <x v="16"/>
    <x v="39"/>
    <x v="6"/>
    <s v="Ben Bedock"/>
    <n v="75000"/>
    <n v="0"/>
    <n v="0"/>
    <n v="0"/>
    <n v="0"/>
    <m/>
    <m/>
    <m/>
    <m/>
    <m/>
    <s v="TBD"/>
    <m/>
    <s v="02/01/2023:  Pricing for design work sent for approval."/>
  </r>
  <r>
    <x v="1"/>
    <n v="20912"/>
    <m/>
    <m/>
    <x v="6"/>
    <x v="6"/>
    <x v="12"/>
    <x v="40"/>
    <x v="6"/>
    <s v="Ben Bedock"/>
    <n v="75000"/>
    <n v="0"/>
    <n v="0"/>
    <n v="0"/>
    <n v="0"/>
    <m/>
    <m/>
    <m/>
    <m/>
    <m/>
    <s v="TBD"/>
    <m/>
    <s v="02/01/2023:  Pricing for design work sent for approval."/>
  </r>
  <r>
    <x v="1"/>
    <n v="20913"/>
    <m/>
    <m/>
    <x v="6"/>
    <x v="6"/>
    <x v="14"/>
    <x v="41"/>
    <x v="6"/>
    <s v="Ben Bedock"/>
    <n v="75000"/>
    <n v="0"/>
    <n v="0"/>
    <n v="0"/>
    <n v="0"/>
    <m/>
    <m/>
    <m/>
    <m/>
    <m/>
    <s v="TBD"/>
    <m/>
    <s v="02/01/2023:  Pricing for design work sent for approval."/>
  </r>
  <r>
    <x v="0"/>
    <s v="WO#"/>
    <m/>
    <m/>
    <x v="3"/>
    <x v="3"/>
    <x v="3"/>
    <x v="42"/>
    <x v="8"/>
    <s v="Terry Haley"/>
    <m/>
    <n v="0"/>
    <n v="0"/>
    <n v="0"/>
    <n v="0"/>
    <m/>
    <m/>
    <m/>
    <s v="TBD"/>
    <m/>
    <n v="0"/>
    <m/>
    <s v="01/22/2024 VUMO in conversations with School of Law"/>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9FDE441-07FC-4B79-B87E-1615D616C4F0}"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84" firstHeaderRow="0" firstDataRow="1" firstDataCol="1"/>
  <pivotFields count="23">
    <pivotField showAll="0">
      <items count="4">
        <item x="1"/>
        <item x="0"/>
        <item x="2"/>
        <item t="default"/>
      </items>
    </pivotField>
    <pivotField showAll="0"/>
    <pivotField showAll="0"/>
    <pivotField showAll="0"/>
    <pivotField axis="axisRow" showAll="0">
      <items count="11">
        <item x="6"/>
        <item x="4"/>
        <item x="5"/>
        <item x="7"/>
        <item x="3"/>
        <item x="1"/>
        <item x="0"/>
        <item x="2"/>
        <item x="8"/>
        <item x="9"/>
        <item t="default"/>
      </items>
    </pivotField>
    <pivotField showAll="0">
      <items count="11">
        <item x="6"/>
        <item x="4"/>
        <item x="5"/>
        <item x="7"/>
        <item x="3"/>
        <item x="2"/>
        <item x="8"/>
        <item x="0"/>
        <item x="1"/>
        <item x="9"/>
        <item t="default"/>
      </items>
    </pivotField>
    <pivotField showAll="0">
      <items count="23">
        <item x="13"/>
        <item x="12"/>
        <item x="21"/>
        <item x="4"/>
        <item x="6"/>
        <item x="16"/>
        <item x="5"/>
        <item x="2"/>
        <item x="7"/>
        <item x="9"/>
        <item x="3"/>
        <item x="1"/>
        <item x="0"/>
        <item x="17"/>
        <item x="11"/>
        <item x="10"/>
        <item x="19"/>
        <item x="15"/>
        <item x="20"/>
        <item x="18"/>
        <item x="14"/>
        <item x="8"/>
        <item t="default"/>
      </items>
    </pivotField>
    <pivotField axis="axisRow" showAll="0">
      <items count="44">
        <item x="18"/>
        <item x="17"/>
        <item x="4"/>
        <item x="26"/>
        <item x="6"/>
        <item x="24"/>
        <item x="2"/>
        <item x="8"/>
        <item x="19"/>
        <item x="11"/>
        <item x="3"/>
        <item x="31"/>
        <item x="1"/>
        <item x="25"/>
        <item x="14"/>
        <item x="0"/>
        <item x="27"/>
        <item x="16"/>
        <item x="12"/>
        <item x="29"/>
        <item x="34"/>
        <item x="32"/>
        <item x="28"/>
        <item x="20"/>
        <item x="33"/>
        <item x="23"/>
        <item x="35"/>
        <item x="13"/>
        <item x="10"/>
        <item x="9"/>
        <item x="5"/>
        <item x="7"/>
        <item x="21"/>
        <item x="22"/>
        <item x="37"/>
        <item x="15"/>
        <item x="30"/>
        <item x="42"/>
        <item x="36"/>
        <item x="38"/>
        <item x="39"/>
        <item x="40"/>
        <item x="41"/>
        <item t="default"/>
      </items>
    </pivotField>
    <pivotField axis="axisRow" showAll="0">
      <items count="10">
        <item x="4"/>
        <item x="6"/>
        <item x="0"/>
        <item x="1"/>
        <item x="5"/>
        <item x="3"/>
        <item x="2"/>
        <item x="7"/>
        <item x="8"/>
        <item t="default"/>
      </items>
    </pivotField>
    <pivotField showAll="0"/>
    <pivotField dataField="1" numFmtId="165" showAll="0"/>
    <pivotField dataField="1" numFmtId="165" showAll="0"/>
    <pivotField numFmtId="165" showAll="0"/>
    <pivotField numFmtId="165" showAll="0"/>
    <pivotField numFmtId="165" showAll="0"/>
    <pivotField showAll="0"/>
    <pivotField numFmtId="164" showAll="0"/>
    <pivotField showAll="0"/>
    <pivotField showAll="0"/>
    <pivotField showAll="0"/>
    <pivotField showAll="0"/>
    <pivotField numFmtId="164" showAll="0"/>
    <pivotField showAll="0"/>
  </pivotFields>
  <rowFields count="3">
    <field x="4"/>
    <field x="8"/>
    <field x="7"/>
  </rowFields>
  <rowItems count="81">
    <i>
      <x/>
    </i>
    <i r="1">
      <x v="1"/>
    </i>
    <i r="2">
      <x v="20"/>
    </i>
    <i r="2">
      <x v="21"/>
    </i>
    <i r="2">
      <x v="33"/>
    </i>
    <i r="2">
      <x v="40"/>
    </i>
    <i r="2">
      <x v="41"/>
    </i>
    <i r="2">
      <x v="42"/>
    </i>
    <i r="1">
      <x v="2"/>
    </i>
    <i r="2">
      <x v="19"/>
    </i>
    <i r="1">
      <x v="3"/>
    </i>
    <i r="2">
      <x v="18"/>
    </i>
    <i r="2">
      <x v="24"/>
    </i>
    <i r="2">
      <x v="32"/>
    </i>
    <i r="1">
      <x v="5"/>
    </i>
    <i r="2">
      <x v="1"/>
    </i>
    <i r="2">
      <x v="4"/>
    </i>
    <i r="2">
      <x v="5"/>
    </i>
    <i r="1">
      <x v="6"/>
    </i>
    <i r="2">
      <x v="23"/>
    </i>
    <i>
      <x v="1"/>
    </i>
    <i r="1">
      <x/>
    </i>
    <i r="2">
      <x v="3"/>
    </i>
    <i r="1">
      <x v="1"/>
    </i>
    <i r="2">
      <x v="35"/>
    </i>
    <i r="1">
      <x v="5"/>
    </i>
    <i r="2">
      <x v="2"/>
    </i>
    <i>
      <x v="2"/>
    </i>
    <i r="1">
      <x/>
    </i>
    <i r="2">
      <x v="30"/>
    </i>
    <i r="1">
      <x v="4"/>
    </i>
    <i r="2">
      <x v="31"/>
    </i>
    <i>
      <x v="3"/>
    </i>
    <i r="1">
      <x v="1"/>
    </i>
    <i r="2">
      <x/>
    </i>
    <i r="2">
      <x v="8"/>
    </i>
    <i r="1">
      <x v="4"/>
    </i>
    <i r="2">
      <x v="9"/>
    </i>
    <i>
      <x v="4"/>
    </i>
    <i r="1">
      <x v="3"/>
    </i>
    <i r="2">
      <x v="11"/>
    </i>
    <i r="1">
      <x v="5"/>
    </i>
    <i r="2">
      <x v="10"/>
    </i>
    <i r="1">
      <x v="8"/>
    </i>
    <i r="2">
      <x v="37"/>
    </i>
    <i>
      <x v="5"/>
    </i>
    <i r="1">
      <x v="1"/>
    </i>
    <i r="2">
      <x v="13"/>
    </i>
    <i r="1">
      <x v="3"/>
    </i>
    <i r="2">
      <x v="12"/>
    </i>
    <i r="1">
      <x v="5"/>
    </i>
    <i r="2">
      <x v="14"/>
    </i>
    <i r="1">
      <x v="7"/>
    </i>
    <i r="2">
      <x v="39"/>
    </i>
    <i>
      <x v="6"/>
    </i>
    <i r="1">
      <x v="2"/>
    </i>
    <i r="2">
      <x v="7"/>
    </i>
    <i r="2">
      <x v="15"/>
    </i>
    <i r="2">
      <x v="26"/>
    </i>
    <i r="2">
      <x v="29"/>
    </i>
    <i r="1">
      <x v="3"/>
    </i>
    <i r="2">
      <x v="17"/>
    </i>
    <i r="2">
      <x v="25"/>
    </i>
    <i r="1">
      <x v="5"/>
    </i>
    <i r="2">
      <x v="27"/>
    </i>
    <i r="2">
      <x v="28"/>
    </i>
    <i r="1">
      <x v="7"/>
    </i>
    <i r="2">
      <x v="22"/>
    </i>
    <i r="2">
      <x v="34"/>
    </i>
    <i>
      <x v="7"/>
    </i>
    <i r="1">
      <x v="6"/>
    </i>
    <i r="2">
      <x v="6"/>
    </i>
    <i>
      <x v="8"/>
    </i>
    <i r="1">
      <x v="5"/>
    </i>
    <i r="2">
      <x v="16"/>
    </i>
    <i r="1">
      <x v="6"/>
    </i>
    <i r="2">
      <x v="36"/>
    </i>
    <i>
      <x v="9"/>
    </i>
    <i r="1">
      <x v="1"/>
    </i>
    <i r="2">
      <x v="38"/>
    </i>
    <i t="grand">
      <x/>
    </i>
  </rowItems>
  <colFields count="1">
    <field x="-2"/>
  </colFields>
  <colItems count="2">
    <i>
      <x/>
    </i>
    <i i="1">
      <x v="1"/>
    </i>
  </colItems>
  <dataFields count="2">
    <dataField name="Estimated Budget" fld="10" baseField="5" baseItem="1" numFmtId="3"/>
    <dataField name="Approved_Budget" fld="11" baseField="5"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C6F0B60-F051-4B0E-AFB0-F9ACA4AAEBE8}"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D13" firstHeaderRow="0" firstDataRow="1" firstDataCol="1"/>
  <pivotFields count="23">
    <pivotField showAll="0"/>
    <pivotField showAll="0"/>
    <pivotField showAll="0"/>
    <pivotField showAll="0"/>
    <pivotField showAll="0"/>
    <pivotField showAll="0"/>
    <pivotField showAll="0"/>
    <pivotField showAll="0">
      <items count="44">
        <item x="18"/>
        <item x="17"/>
        <item x="4"/>
        <item x="26"/>
        <item x="6"/>
        <item x="24"/>
        <item x="2"/>
        <item x="8"/>
        <item x="19"/>
        <item x="11"/>
        <item x="3"/>
        <item x="31"/>
        <item x="1"/>
        <item x="25"/>
        <item x="14"/>
        <item x="0"/>
        <item x="27"/>
        <item x="16"/>
        <item x="12"/>
        <item x="29"/>
        <item x="34"/>
        <item x="32"/>
        <item x="28"/>
        <item x="20"/>
        <item x="33"/>
        <item x="23"/>
        <item x="35"/>
        <item x="13"/>
        <item x="10"/>
        <item x="9"/>
        <item x="5"/>
        <item x="7"/>
        <item x="21"/>
        <item x="22"/>
        <item x="37"/>
        <item x="15"/>
        <item x="30"/>
        <item x="36"/>
        <item x="38"/>
        <item x="39"/>
        <item x="40"/>
        <item x="41"/>
        <item x="42"/>
        <item t="default"/>
      </items>
    </pivotField>
    <pivotField axis="axisRow" showAll="0">
      <items count="10">
        <item x="4"/>
        <item x="6"/>
        <item x="0"/>
        <item x="1"/>
        <item x="5"/>
        <item x="3"/>
        <item x="2"/>
        <item x="7"/>
        <item x="8"/>
        <item t="default"/>
      </items>
    </pivotField>
    <pivotField showAll="0"/>
    <pivotField numFmtId="165" showAll="0"/>
    <pivotField numFmtId="165" showAll="0"/>
    <pivotField numFmtId="165" showAll="0"/>
    <pivotField numFmtId="165" showAll="0"/>
    <pivotField dataField="1" numFmtId="165" showAll="0"/>
    <pivotField showAll="0"/>
    <pivotField dataField="1" numFmtId="164" showAll="0"/>
    <pivotField dataField="1" showAll="0"/>
    <pivotField showAll="0"/>
    <pivotField showAll="0"/>
    <pivotField showAll="0"/>
    <pivotField numFmtId="164" showAll="0"/>
    <pivotField showAll="0"/>
  </pivotFields>
  <rowFields count="1">
    <field x="8"/>
  </rowFields>
  <rowItems count="10">
    <i>
      <x/>
    </i>
    <i>
      <x v="1"/>
    </i>
    <i>
      <x v="2"/>
    </i>
    <i>
      <x v="3"/>
    </i>
    <i>
      <x v="4"/>
    </i>
    <i>
      <x v="5"/>
    </i>
    <i>
      <x v="6"/>
    </i>
    <i>
      <x v="7"/>
    </i>
    <i>
      <x v="8"/>
    </i>
    <i t="grand">
      <x/>
    </i>
  </rowItems>
  <colFields count="1">
    <field x="-2"/>
  </colFields>
  <colItems count="3">
    <i>
      <x/>
    </i>
    <i i="1">
      <x v="1"/>
    </i>
    <i i="2">
      <x v="2"/>
    </i>
  </colItems>
  <dataFields count="3">
    <dataField name="Actual Costs" fld="14" baseField="8" baseItem="0" numFmtId="3"/>
    <dataField name="FY23 FRP Cash" fld="16" baseField="8" baseItem="0" numFmtId="3"/>
    <dataField name="FY24 FRP Cash" fld="17" baseField="8" baseItem="0"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349783290">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349783290">
      <items count="22">
        <i x="13" s="1"/>
        <i x="12" s="1"/>
        <i x="21" s="1"/>
        <i x="4" s="1"/>
        <i x="6" s="1"/>
        <i x="16" s="1"/>
        <i x="5" s="1"/>
        <i x="2" s="1"/>
        <i x="7" s="1"/>
        <i x="9" s="1"/>
        <i x="3" s="1"/>
        <i x="1" s="1"/>
        <i x="0" s="1"/>
        <i x="17" s="1"/>
        <i x="11" s="1"/>
        <i x="10" s="1"/>
        <i x="19" s="1"/>
        <i x="15" s="1"/>
        <i x="20" s="1"/>
        <i x="18" s="1"/>
        <i x="14" s="1"/>
        <i x="8"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349783290">
      <items count="10">
        <i x="6" s="1"/>
        <i x="4" s="1"/>
        <i x="5" s="1"/>
        <i x="7" s="1"/>
        <i x="3" s="1"/>
        <i x="2" s="1"/>
        <i x="8" s="1"/>
        <i x="0" s="1"/>
        <i x="1" s="1"/>
        <i x="9"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349783290">
      <items count="9">
        <i x="2" s="1"/>
        <i x="7" s="1"/>
        <i x="4" s="1"/>
        <i x="6" s="1"/>
        <i x="0" s="1"/>
        <i x="1" s="1"/>
        <i x="5" s="1"/>
        <i x="8"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Includes roof repairs in scope.</text>
  </threadedComment>
  <threadedComment ref="L10" dT="2023-02-09T15:08:20.39" personId="{25485ED3-42D9-422C-9A77-5F76F434CCD0}" id="{DBD976BE-1EA5-4F82-B578-BB477409D36E}">
    <text>Includes both A&amp;S swing space and FRP scope.</text>
  </threadedComment>
  <threadedComment ref="W11" dT="2023-10-18T18:20:46.13" personId="{25485ED3-42D9-422C-9A77-5F76F434CCD0}" id="{AA2AAB68-C334-402F-BFE2-A7D00ACCE4BE}">
    <text>Project will be joint funded, FPR / Divinity + Dean of Students.</text>
  </threadedComment>
  <threadedComment ref="W19" dT="2024-02-01T20:47:48.13" personId="{25485ED3-42D9-422C-9A77-5F76F434CCD0}" id="{2F536141-AE0B-480B-9256-AC86F43D41D9}">
    <text>Phase 2 estimate. May be a separate project ID.</text>
  </threadedComment>
  <threadedComment ref="L28" dT="2023-02-09T15:08:20.39" personId="{25485ED3-42D9-422C-9A77-5F76F434CCD0}" id="{CD0EAA3A-8612-41AC-AEA9-2402CC95F0F9}">
    <text xml:space="preserve">Includes both A&amp;S third floor renovation FRP (VAV boxes) scope. </text>
  </threadedComment>
  <threadedComment ref="I36" dT="2023-08-23T18:07:53.49" personId="{25485ED3-42D9-422C-9A77-5F76F434CCD0}" id="{E105EA63-7C78-41C4-8D8F-2A5203F081DB}">
    <text>Feasibility study to occur FY24 as opex cost. Unsure timing of eventual construction.</text>
  </threadedComment>
  <threadedComment ref="I37" dT="2023-08-23T18:07:53.49" personId="{25485ED3-42D9-422C-9A77-5F76F434CCD0}" id="{E5436728-87D0-492B-83F9-14F3FA74D779}">
    <text>Feasibility study to occur FY24 as opex cost. Unsure timing of eventual construction.</text>
  </threadedComment>
  <threadedComment ref="I38" dT="2023-08-23T18:07:59.09" personId="{25485ED3-42D9-422C-9A77-5F76F434CCD0}" id="{2718DB0D-6394-4B31-BD4D-B1D4C2924D70}">
    <text>Feasibility study to occur FY24 as opex cost. Unsure timing of eventual construction.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E38" dT="2023-11-15T19:09:35.82" personId="{25485ED3-42D9-422C-9A77-5F76F434CCD0}" id="{85245034-B175-4331-A4C4-D9D0079EF84F}">
    <text>Preliminary cost estimates presented in three options. $4M - $5M range.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microsoft.com/office/2007/relationships/slicer" Target="../slicers/slicer1.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cols>
    <col min="1" max="1" width="4.84375" customWidth="1"/>
  </cols>
  <sheetData>
    <row r="2" spans="2:9" x14ac:dyDescent="0.4">
      <c r="I2" s="171"/>
    </row>
    <row r="4" spans="2:9" ht="20.6" x14ac:dyDescent="0.55000000000000004">
      <c r="B4" s="188" t="s">
        <v>296</v>
      </c>
    </row>
    <row r="6" spans="2:9" x14ac:dyDescent="0.4">
      <c r="B6" s="22" t="s">
        <v>297</v>
      </c>
    </row>
    <row r="7" spans="2:9" x14ac:dyDescent="0.4">
      <c r="B7" s="22" t="s">
        <v>302</v>
      </c>
    </row>
    <row r="8" spans="2:9" x14ac:dyDescent="0.4">
      <c r="I8" s="171"/>
    </row>
    <row r="10" spans="2:9" x14ac:dyDescent="0.4">
      <c r="B10" s="22" t="s">
        <v>305</v>
      </c>
    </row>
    <row r="11" spans="2:9" x14ac:dyDescent="0.4">
      <c r="B11" s="22" t="s">
        <v>298</v>
      </c>
    </row>
    <row r="12" spans="2:9" x14ac:dyDescent="0.4">
      <c r="B12" s="22" t="s">
        <v>303</v>
      </c>
    </row>
    <row r="13" spans="2:9" x14ac:dyDescent="0.4">
      <c r="B13" s="22" t="s">
        <v>304</v>
      </c>
    </row>
    <row r="14" spans="2:9" x14ac:dyDescent="0.4">
      <c r="B14" s="22" t="s">
        <v>306</v>
      </c>
    </row>
    <row r="15" spans="2:9" x14ac:dyDescent="0.4">
      <c r="B15" s="22" t="s">
        <v>307</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99">
        <f>VLOOKUP(A4,'Project Status'!C:M,11,FALSE)</f>
        <v>22000</v>
      </c>
      <c r="I4" s="202">
        <f>VLOOKUP(B4,'Project Status'!D:N,11,FALSE)</f>
        <v>17500</v>
      </c>
    </row>
    <row r="8" spans="1:11" x14ac:dyDescent="0.4">
      <c r="E8" s="42" t="s">
        <v>124</v>
      </c>
    </row>
    <row r="9" spans="1:11" x14ac:dyDescent="0.4">
      <c r="E9" s="22" t="s">
        <v>215</v>
      </c>
      <c r="F9" s="34" t="s">
        <v>146</v>
      </c>
      <c r="H9" s="43">
        <v>22000</v>
      </c>
      <c r="I9" s="43"/>
    </row>
    <row r="10" spans="1:11" x14ac:dyDescent="0.4">
      <c r="E10" s="22" t="s">
        <v>309</v>
      </c>
      <c r="F10" t="s">
        <v>310</v>
      </c>
      <c r="H10" s="44">
        <v>-4500</v>
      </c>
      <c r="I10" s="44"/>
    </row>
    <row r="18" spans="5:8" x14ac:dyDescent="0.4">
      <c r="E18" s="161" t="s">
        <v>271</v>
      </c>
      <c r="F18" s="162"/>
      <c r="G18" s="161"/>
      <c r="H18" s="163">
        <f>SUM(H9:H17)</f>
        <v>17500</v>
      </c>
    </row>
    <row r="20" spans="5:8" x14ac:dyDescent="0.4">
      <c r="E20" s="164" t="s">
        <v>136</v>
      </c>
      <c r="F20" s="164"/>
      <c r="G20" s="164"/>
      <c r="H20" s="165">
        <f>I4-H18</f>
        <v>0</v>
      </c>
    </row>
  </sheetData>
  <hyperlinks>
    <hyperlink ref="K1" location="'Project Status'!A1" display="'Project Status'!A1" xr:uid="{33687509-4DFC-46F4-91EA-B013FA4D89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 min="9" max="9" width="1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Financial Closeout</v>
      </c>
      <c r="G4" s="11" t="str">
        <f>VLOOKUP(A4,'Project Status'!C:K,9,FALSE)</f>
        <v>Hans Mooy</v>
      </c>
      <c r="H4" s="41">
        <f>VLOOKUP(A4,'Project Status'!C:M,11,FALSE)</f>
        <v>1216485.5</v>
      </c>
      <c r="I4" s="202">
        <f>VLOOKUP(B4,'Project Status'!D:N,11,FALSE)</f>
        <v>1212084.54</v>
      </c>
    </row>
    <row r="8" spans="1:11" x14ac:dyDescent="0.4">
      <c r="E8" s="42" t="s">
        <v>124</v>
      </c>
    </row>
    <row r="9" spans="1:11" x14ac:dyDescent="0.4">
      <c r="E9" s="22" t="s">
        <v>134</v>
      </c>
      <c r="F9" s="34">
        <v>44769</v>
      </c>
      <c r="H9" s="43">
        <v>1216485.5</v>
      </c>
    </row>
    <row r="10" spans="1:11" x14ac:dyDescent="0.4">
      <c r="E10" s="22" t="s">
        <v>386</v>
      </c>
      <c r="F10" s="252" t="s">
        <v>310</v>
      </c>
      <c r="H10" s="43">
        <v>-4400.96</v>
      </c>
    </row>
    <row r="13" spans="1:11" x14ac:dyDescent="0.4">
      <c r="F13" s="10"/>
      <c r="G13" s="10"/>
      <c r="H13" s="46"/>
    </row>
    <row r="18" spans="5:8" x14ac:dyDescent="0.4">
      <c r="E18" s="161" t="s">
        <v>271</v>
      </c>
      <c r="F18" s="162"/>
      <c r="G18" s="161"/>
      <c r="H18" s="163">
        <f>SUM(H9:H17)</f>
        <v>1212084.54</v>
      </c>
    </row>
    <row r="20" spans="5:8" x14ac:dyDescent="0.4">
      <c r="E20" s="164" t="s">
        <v>136</v>
      </c>
      <c r="F20" s="164"/>
      <c r="G20" s="164"/>
      <c r="H20" s="165">
        <f>I4-H18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Award</v>
      </c>
      <c r="G4" s="11" t="str">
        <f>VLOOKUP(A4,'Project Status'!C:K,9,FALSE)</f>
        <v>Sean Rewers</v>
      </c>
      <c r="H4" s="99">
        <f>VLOOKUP(A4,'Project Status'!C:M,11,FALSE)</f>
        <v>318057</v>
      </c>
    </row>
    <row r="8" spans="1:11" x14ac:dyDescent="0.4">
      <c r="E8" s="42" t="s">
        <v>124</v>
      </c>
    </row>
    <row r="9" spans="1:11" x14ac:dyDescent="0.4">
      <c r="E9" s="22" t="s">
        <v>215</v>
      </c>
      <c r="F9" s="34" t="s">
        <v>146</v>
      </c>
      <c r="H9" s="43">
        <v>4900</v>
      </c>
    </row>
    <row r="10" spans="1:11" x14ac:dyDescent="0.4">
      <c r="E10" s="33" t="s">
        <v>219</v>
      </c>
      <c r="F10" s="20"/>
      <c r="G10" s="20"/>
      <c r="H10" s="80">
        <v>57200</v>
      </c>
    </row>
    <row r="11" spans="1:11" x14ac:dyDescent="0.4">
      <c r="H11" s="45">
        <f>SUM(H9:H10)</f>
        <v>62100</v>
      </c>
    </row>
    <row r="12" spans="1:11" x14ac:dyDescent="0.4">
      <c r="H12" s="46"/>
    </row>
    <row r="13" spans="1:11" x14ac:dyDescent="0.4">
      <c r="E13" s="22" t="s">
        <v>342</v>
      </c>
      <c r="F13" s="34" t="s">
        <v>341</v>
      </c>
      <c r="G13" s="10"/>
      <c r="H13" s="44">
        <v>11500</v>
      </c>
    </row>
    <row r="14" spans="1:11" x14ac:dyDescent="0.4">
      <c r="E14" s="22" t="s">
        <v>386</v>
      </c>
      <c r="F14" t="s">
        <v>174</v>
      </c>
      <c r="H14" s="44">
        <v>244457</v>
      </c>
    </row>
    <row r="15" spans="1:11" x14ac:dyDescent="0.4">
      <c r="E15" s="161" t="s">
        <v>425</v>
      </c>
      <c r="F15" s="162"/>
      <c r="G15" s="161"/>
      <c r="H15" s="163">
        <f>SUM(H13:H14)</f>
        <v>255957</v>
      </c>
    </row>
    <row r="20" spans="5:8" x14ac:dyDescent="0.4">
      <c r="E20" s="164" t="s">
        <v>136</v>
      </c>
      <c r="F20" s="164"/>
      <c r="G20" s="164"/>
      <c r="H20" s="165">
        <f>H4-H11-H15</f>
        <v>0</v>
      </c>
    </row>
  </sheetData>
  <hyperlinks>
    <hyperlink ref="K1" location="'Project Status'!A1" display="'Project Status'!A1" xr:uid="{A956AABB-927C-4E8E-BB0A-A11D0E8D38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8"/>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2.3828125" bestFit="1" customWidth="1"/>
    <col min="7" max="7" width="13.84375" bestFit="1" customWidth="1"/>
    <col min="8" max="8" width="16.53515625" bestFit="1" customWidth="1"/>
    <col min="9" max="9" width="1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1">
        <f>VLOOKUP(A4,'Project Status'!C:M,11,FALSE)</f>
        <v>1445389</v>
      </c>
      <c r="I4" s="202">
        <f>VLOOKUP(B4,'Project Status'!D:N,11,FALSE)</f>
        <v>1352423.14</v>
      </c>
    </row>
    <row r="8" spans="1:11" x14ac:dyDescent="0.4">
      <c r="E8" s="42" t="s">
        <v>124</v>
      </c>
    </row>
    <row r="9" spans="1:11" x14ac:dyDescent="0.4">
      <c r="E9" s="22" t="s">
        <v>134</v>
      </c>
      <c r="F9" s="34">
        <v>44769</v>
      </c>
      <c r="H9" s="43">
        <v>722694.5</v>
      </c>
    </row>
    <row r="10" spans="1:11" x14ac:dyDescent="0.4">
      <c r="E10" s="33" t="s">
        <v>135</v>
      </c>
      <c r="F10" s="20"/>
      <c r="G10" s="20"/>
      <c r="H10" s="80">
        <f>H4*0.5</f>
        <v>722694.5</v>
      </c>
    </row>
    <row r="11" spans="1:11" x14ac:dyDescent="0.4">
      <c r="H11" s="45">
        <f>SUM(H9:H10)</f>
        <v>1445389</v>
      </c>
    </row>
    <row r="13" spans="1:11" x14ac:dyDescent="0.4">
      <c r="G13" s="10"/>
      <c r="H13" s="46"/>
    </row>
    <row r="18" spans="5:8" x14ac:dyDescent="0.4">
      <c r="E18" s="161" t="s">
        <v>271</v>
      </c>
      <c r="F18" s="162"/>
      <c r="G18" s="161"/>
      <c r="H18" s="163">
        <f>H9</f>
        <v>722694.5</v>
      </c>
    </row>
    <row r="20" spans="5:8" x14ac:dyDescent="0.4">
      <c r="E20" s="164" t="s">
        <v>136</v>
      </c>
      <c r="F20" s="164"/>
      <c r="G20" s="164"/>
      <c r="H20" s="165">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8"/>
  </sheetPr>
  <dimension ref="A1:K20"/>
  <sheetViews>
    <sheetView zoomScale="90" zoomScaleNormal="90" workbookViewId="0">
      <selection activeCell="H20" sqref="H20"/>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2.38281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Warranty or Construction Closeout</v>
      </c>
      <c r="G4" s="11" t="str">
        <f>VLOOKUP(A4,'Project Status'!C:K,9,FALSE)</f>
        <v>Ben Bedock</v>
      </c>
      <c r="H4" s="41">
        <f>VLOOKUP(A4,'Project Status'!C:M,11,FALSE)</f>
        <v>327890</v>
      </c>
      <c r="I4" s="202">
        <f>VLOOKUP(B4,'Project Status'!D:N,11,FALSE)</f>
        <v>280600</v>
      </c>
    </row>
    <row r="8" spans="1:11" x14ac:dyDescent="0.4">
      <c r="E8" s="42" t="s">
        <v>124</v>
      </c>
    </row>
    <row r="9" spans="1:11" x14ac:dyDescent="0.4">
      <c r="E9" s="22" t="s">
        <v>166</v>
      </c>
      <c r="F9" s="34" t="s">
        <v>139</v>
      </c>
      <c r="H9" s="43">
        <v>12900</v>
      </c>
    </row>
    <row r="10" spans="1:11" x14ac:dyDescent="0.4">
      <c r="E10" s="22" t="s">
        <v>166</v>
      </c>
      <c r="F10" t="s">
        <v>146</v>
      </c>
      <c r="H10" s="44">
        <v>2200</v>
      </c>
    </row>
    <row r="11" spans="1:11" x14ac:dyDescent="0.4">
      <c r="E11" s="22" t="s">
        <v>215</v>
      </c>
      <c r="F11" t="s">
        <v>174</v>
      </c>
      <c r="H11" s="44">
        <v>312790</v>
      </c>
    </row>
    <row r="18" spans="5:8" x14ac:dyDescent="0.4">
      <c r="E18" s="161" t="s">
        <v>271</v>
      </c>
      <c r="F18" s="162"/>
      <c r="G18" s="161"/>
      <c r="H18" s="163">
        <f>SUM(H9:H17)</f>
        <v>327890</v>
      </c>
    </row>
    <row r="20" spans="5:8" x14ac:dyDescent="0.4">
      <c r="E20" s="164" t="s">
        <v>136</v>
      </c>
      <c r="F20" s="164"/>
      <c r="G20" s="164"/>
      <c r="H20" s="165">
        <f>H4-H18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E16" sqref="E16"/>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66" t="s">
        <v>276</v>
      </c>
    </row>
    <row r="3" spans="1:12" x14ac:dyDescent="0.4">
      <c r="A3" s="38" t="s">
        <v>125</v>
      </c>
      <c r="B3" s="37" t="s">
        <v>126</v>
      </c>
      <c r="C3" s="38" t="s">
        <v>127</v>
      </c>
      <c r="D3" s="39" t="s">
        <v>86</v>
      </c>
      <c r="E3" s="39" t="s">
        <v>87</v>
      </c>
      <c r="F3" s="38" t="s">
        <v>128</v>
      </c>
      <c r="G3" s="38" t="s">
        <v>129</v>
      </c>
      <c r="H3" s="40" t="s">
        <v>130</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Air Handling Unit Replacement, (5/6)- Phase 1</v>
      </c>
      <c r="F4" s="11" t="str">
        <f>VLOOKUP(A4,'Project Status'!C:J,8,FALSE)</f>
        <v>Construction</v>
      </c>
      <c r="G4" s="11" t="str">
        <f>VLOOKUP(A4,'Project Status'!C:K,9,FALSE)</f>
        <v>Hans Mooy</v>
      </c>
      <c r="H4" s="41">
        <f>VLOOKUP(A4,'Project Status'!C:M,11,FALSE)</f>
        <v>3800000</v>
      </c>
    </row>
    <row r="5" spans="1:12" x14ac:dyDescent="0.4">
      <c r="H5" s="43"/>
    </row>
    <row r="6" spans="1:12" x14ac:dyDescent="0.4">
      <c r="H6" s="43"/>
      <c r="J6" s="78">
        <v>0.75</v>
      </c>
      <c r="K6" s="78">
        <v>0.25</v>
      </c>
    </row>
    <row r="7" spans="1:12" ht="15" thickBot="1" x14ac:dyDescent="0.45">
      <c r="H7" s="43"/>
      <c r="J7" s="79" t="s">
        <v>179</v>
      </c>
      <c r="K7" s="79" t="s">
        <v>180</v>
      </c>
    </row>
    <row r="8" spans="1:12" x14ac:dyDescent="0.4">
      <c r="E8" s="42" t="s">
        <v>124</v>
      </c>
      <c r="H8" s="43"/>
    </row>
    <row r="9" spans="1:12" x14ac:dyDescent="0.4">
      <c r="E9" s="33" t="s">
        <v>181</v>
      </c>
      <c r="H9" s="75">
        <f>39900+3000+3590</f>
        <v>46490</v>
      </c>
      <c r="J9" s="44"/>
      <c r="K9" s="44"/>
    </row>
    <row r="10" spans="1:12" x14ac:dyDescent="0.4">
      <c r="E10" s="22" t="s">
        <v>175</v>
      </c>
      <c r="F10" t="s">
        <v>174</v>
      </c>
      <c r="H10" s="43">
        <f>J10</f>
        <v>937.5</v>
      </c>
      <c r="I10" s="78"/>
      <c r="J10" s="44">
        <f>L10*J6</f>
        <v>937.5</v>
      </c>
      <c r="K10" s="44">
        <f>L10*K6</f>
        <v>312.5</v>
      </c>
      <c r="L10" s="74">
        <v>1250</v>
      </c>
    </row>
    <row r="11" spans="1:12" x14ac:dyDescent="0.4">
      <c r="E11" s="22" t="s">
        <v>175</v>
      </c>
      <c r="F11" s="34" t="s">
        <v>172</v>
      </c>
      <c r="H11" s="43">
        <f>J11</f>
        <v>61425</v>
      </c>
      <c r="J11" s="44">
        <f>L11*J6</f>
        <v>61425</v>
      </c>
      <c r="K11" s="44">
        <f>L11*K6</f>
        <v>20475</v>
      </c>
      <c r="L11" s="74">
        <v>81900</v>
      </c>
    </row>
    <row r="12" spans="1:12" x14ac:dyDescent="0.4">
      <c r="E12" s="33" t="s">
        <v>182</v>
      </c>
      <c r="F12" s="34"/>
      <c r="H12" s="75">
        <f>K10+K11</f>
        <v>20787.5</v>
      </c>
      <c r="J12" s="44"/>
      <c r="K12" s="44"/>
    </row>
    <row r="13" spans="1:12" x14ac:dyDescent="0.4">
      <c r="E13" s="22" t="s">
        <v>226</v>
      </c>
      <c r="F13" t="s">
        <v>221</v>
      </c>
      <c r="H13" s="111">
        <f>J13</f>
        <v>7500</v>
      </c>
      <c r="J13" s="44">
        <f>L13*J6</f>
        <v>7500</v>
      </c>
      <c r="K13" s="44">
        <f>L13*K6</f>
        <v>2500</v>
      </c>
      <c r="L13" s="74">
        <v>10000</v>
      </c>
    </row>
    <row r="14" spans="1:12" x14ac:dyDescent="0.4">
      <c r="E14" s="33" t="s">
        <v>227</v>
      </c>
      <c r="H14" s="109">
        <f>K13</f>
        <v>2500</v>
      </c>
      <c r="J14" s="44"/>
      <c r="K14" s="44"/>
    </row>
    <row r="15" spans="1:12" x14ac:dyDescent="0.4">
      <c r="E15" s="33" t="s">
        <v>342</v>
      </c>
      <c r="F15" t="s">
        <v>343</v>
      </c>
      <c r="H15" s="109">
        <v>3660360</v>
      </c>
      <c r="J15" s="44"/>
      <c r="K15" s="44"/>
    </row>
    <row r="16" spans="1:12" x14ac:dyDescent="0.4">
      <c r="J16" s="44" t="s">
        <v>344</v>
      </c>
      <c r="K16" s="44"/>
    </row>
    <row r="17" spans="5:8" x14ac:dyDescent="0.4">
      <c r="H17" s="45">
        <f>SUM(H9:H16)</f>
        <v>3800000</v>
      </c>
    </row>
    <row r="19" spans="5:8" x14ac:dyDescent="0.4">
      <c r="F19" s="10"/>
      <c r="G19" s="10"/>
      <c r="H19" s="77"/>
    </row>
    <row r="20" spans="5:8" x14ac:dyDescent="0.4">
      <c r="E20" s="161" t="s">
        <v>271</v>
      </c>
      <c r="F20" s="162"/>
      <c r="G20" s="161"/>
      <c r="H20" s="163">
        <f>H10+H11+H13+H15</f>
        <v>3730222.5</v>
      </c>
    </row>
    <row r="22" spans="5:8" x14ac:dyDescent="0.4">
      <c r="E22" s="164" t="s">
        <v>136</v>
      </c>
      <c r="F22" s="164"/>
      <c r="G22" s="164"/>
      <c r="H22" s="165">
        <f>H4-H17</f>
        <v>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4"/>
  </sheetPr>
  <dimension ref="A1:L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11.69140625" bestFit="1" customWidth="1"/>
    <col min="7" max="7" width="13.3046875" bestFit="1" customWidth="1"/>
    <col min="8" max="8" width="16.53515625" bestFit="1" customWidth="1"/>
    <col min="9" max="12" width="15" bestFit="1" customWidth="1"/>
  </cols>
  <sheetData>
    <row r="1" spans="1:12" x14ac:dyDescent="0.4">
      <c r="K1" s="166" t="s">
        <v>276</v>
      </c>
    </row>
    <row r="3" spans="1:12" x14ac:dyDescent="0.4">
      <c r="A3" s="38" t="s">
        <v>125</v>
      </c>
      <c r="B3" s="37" t="s">
        <v>126</v>
      </c>
      <c r="C3" s="38" t="s">
        <v>127</v>
      </c>
      <c r="D3" s="39" t="s">
        <v>86</v>
      </c>
      <c r="E3" s="39" t="s">
        <v>87</v>
      </c>
      <c r="F3" s="38" t="s">
        <v>128</v>
      </c>
      <c r="G3" s="38" t="s">
        <v>129</v>
      </c>
      <c r="H3" s="40" t="s">
        <v>130</v>
      </c>
      <c r="I3" s="198" t="s">
        <v>308</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Warranty or Construction Closeout</v>
      </c>
      <c r="G4" s="11" t="str">
        <f>VLOOKUP(A4,'Project Status'!C:K,9,FALSE)</f>
        <v>Cathy Bartlett</v>
      </c>
      <c r="H4" s="41">
        <f>VLOOKUP(A4,'Project Status'!C:M,11,FALSE)</f>
        <v>2790000</v>
      </c>
      <c r="I4" s="202">
        <f>VLOOKUP(B4,'Project Status'!D:N,11,FALSE)</f>
        <v>2467964.41</v>
      </c>
    </row>
    <row r="5" spans="1:12" x14ac:dyDescent="0.4">
      <c r="H5" s="43"/>
    </row>
    <row r="6" spans="1:12" x14ac:dyDescent="0.4">
      <c r="H6" s="43"/>
      <c r="J6" s="78"/>
      <c r="K6" s="78"/>
    </row>
    <row r="7" spans="1:12" ht="15" thickBot="1" x14ac:dyDescent="0.45">
      <c r="H7" s="43"/>
      <c r="J7" s="79" t="s">
        <v>179</v>
      </c>
      <c r="K7" s="79" t="s">
        <v>120</v>
      </c>
    </row>
    <row r="8" spans="1:12" x14ac:dyDescent="0.4">
      <c r="E8" s="42" t="s">
        <v>124</v>
      </c>
      <c r="H8" s="43"/>
    </row>
    <row r="9" spans="1:12" x14ac:dyDescent="0.4">
      <c r="E9" t="s">
        <v>240</v>
      </c>
      <c r="F9" t="s">
        <v>139</v>
      </c>
      <c r="H9" s="43">
        <f>J9</f>
        <v>12100</v>
      </c>
      <c r="J9" s="44">
        <v>12100</v>
      </c>
      <c r="K9" s="44">
        <v>6900</v>
      </c>
      <c r="L9" s="74">
        <v>19000</v>
      </c>
    </row>
    <row r="10" spans="1:12" x14ac:dyDescent="0.4">
      <c r="E10" s="33" t="s">
        <v>241</v>
      </c>
      <c r="F10" s="34"/>
      <c r="H10" s="75">
        <f>K9</f>
        <v>6900</v>
      </c>
      <c r="I10" s="78"/>
      <c r="J10" s="44"/>
      <c r="K10" s="44"/>
    </row>
    <row r="11" spans="1:12" x14ac:dyDescent="0.4">
      <c r="E11" s="172" t="s">
        <v>272</v>
      </c>
      <c r="F11" t="s">
        <v>214</v>
      </c>
      <c r="H11" s="43">
        <v>69000</v>
      </c>
      <c r="J11" s="44">
        <v>69000</v>
      </c>
      <c r="K11" s="44">
        <v>32500</v>
      </c>
      <c r="L11" s="74">
        <v>101500</v>
      </c>
    </row>
    <row r="12" spans="1:12" x14ac:dyDescent="0.4">
      <c r="E12" s="33" t="s">
        <v>241</v>
      </c>
      <c r="H12" s="109">
        <v>32500</v>
      </c>
      <c r="J12" s="44"/>
      <c r="K12" s="44"/>
    </row>
    <row r="13" spans="1:12" x14ac:dyDescent="0.4">
      <c r="E13" s="172" t="s">
        <v>327</v>
      </c>
      <c r="F13" t="s">
        <v>146</v>
      </c>
      <c r="H13" s="111">
        <f>SUM(1110000-H11-H9)</f>
        <v>1028900</v>
      </c>
      <c r="J13" s="43">
        <v>1028900</v>
      </c>
      <c r="K13" s="43">
        <v>1640600</v>
      </c>
      <c r="L13" s="74">
        <f>SUM(J13:K13)</f>
        <v>2669500</v>
      </c>
    </row>
    <row r="14" spans="1:12" x14ac:dyDescent="0.4">
      <c r="E14" s="33" t="s">
        <v>289</v>
      </c>
      <c r="H14" s="109">
        <f>SUM(1680000-H12-H10)</f>
        <v>1640600</v>
      </c>
      <c r="J14" s="44"/>
      <c r="K14" s="44"/>
    </row>
    <row r="15" spans="1:12" x14ac:dyDescent="0.4">
      <c r="F15" s="10"/>
      <c r="G15" s="10"/>
      <c r="H15" s="109"/>
    </row>
    <row r="16" spans="1:12" x14ac:dyDescent="0.4">
      <c r="H16" s="45">
        <f>SUM(H9:H14)</f>
        <v>2790000</v>
      </c>
    </row>
    <row r="18" spans="5:8" x14ac:dyDescent="0.4">
      <c r="E18" s="161" t="s">
        <v>271</v>
      </c>
      <c r="F18" s="162"/>
      <c r="G18" s="161"/>
      <c r="H18" s="163">
        <f>H9+H11+H13</f>
        <v>1110000</v>
      </c>
    </row>
    <row r="20" spans="5:8" x14ac:dyDescent="0.4">
      <c r="E20" s="164" t="s">
        <v>136</v>
      </c>
      <c r="F20" s="164"/>
      <c r="G20" s="164"/>
      <c r="H20" s="165">
        <f>H4-H16</f>
        <v>0</v>
      </c>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191B2-8F5D-400A-B02C-2E238F3DB10E}">
  <sheetPr>
    <tabColor theme="4"/>
  </sheetPr>
  <dimension ref="A1"/>
  <sheetViews>
    <sheetView workbookViewId="0"/>
  </sheetViews>
  <sheetFormatPr defaultRowHeight="14.6" x14ac:dyDescent="0.4"/>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2" bestFit="1" customWidth="1"/>
    <col min="6" max="6" width="11.15234375" bestFit="1" customWidth="1"/>
    <col min="7" max="7" width="11" bestFit="1" customWidth="1"/>
    <col min="8" max="8" width="16.53515625" bestFit="1" customWidth="1"/>
    <col min="10" max="12" width="11.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Air Handling Unit Replacement, (1/3) - Phase 2 with Benton</v>
      </c>
      <c r="F4" s="11" t="str">
        <f>VLOOKUP(A4,'Project Status'!C:J,8,FALSE)</f>
        <v>Not Started</v>
      </c>
      <c r="G4" s="11" t="str">
        <f>VLOOKUP(A4,'Project Status'!C:K,9,FALSE)</f>
        <v>Hans Mooy</v>
      </c>
      <c r="H4" s="41">
        <f>VLOOKUP(A4,'Project Status'!C:M,11,FALSE)</f>
        <v>26500</v>
      </c>
    </row>
    <row r="5" spans="1:11" x14ac:dyDescent="0.4">
      <c r="H5" s="43"/>
    </row>
    <row r="6" spans="1:11" x14ac:dyDescent="0.4">
      <c r="H6" s="43"/>
      <c r="J6" s="78"/>
      <c r="K6" s="78"/>
    </row>
    <row r="7" spans="1:11" x14ac:dyDescent="0.4">
      <c r="H7" s="43"/>
    </row>
    <row r="8" spans="1:11" x14ac:dyDescent="0.4">
      <c r="E8" s="42" t="s">
        <v>124</v>
      </c>
      <c r="H8" s="43"/>
    </row>
    <row r="9" spans="1:11" x14ac:dyDescent="0.4">
      <c r="E9" t="s">
        <v>240</v>
      </c>
      <c r="F9" t="s">
        <v>139</v>
      </c>
      <c r="H9" s="43">
        <v>26500</v>
      </c>
    </row>
    <row r="10" spans="1:11" x14ac:dyDescent="0.4">
      <c r="E10" s="22"/>
      <c r="F10" s="34"/>
      <c r="H10" s="43"/>
    </row>
    <row r="11" spans="1:11" x14ac:dyDescent="0.4">
      <c r="E11" s="33"/>
      <c r="F11" s="33"/>
      <c r="G11" s="33"/>
      <c r="H11" s="33"/>
      <c r="I11" s="33"/>
    </row>
    <row r="12" spans="1:11" x14ac:dyDescent="0.4">
      <c r="E12" s="22"/>
      <c r="F12" s="22"/>
      <c r="G12" s="22"/>
      <c r="H12" s="22"/>
      <c r="I12" s="22"/>
    </row>
    <row r="13" spans="1:11" x14ac:dyDescent="0.4">
      <c r="E13" s="33"/>
      <c r="F13" s="33"/>
      <c r="G13" s="33"/>
      <c r="H13" s="33"/>
      <c r="I13" s="33"/>
    </row>
    <row r="14" spans="1:11" x14ac:dyDescent="0.4">
      <c r="J14" s="44"/>
      <c r="K14" s="44"/>
    </row>
    <row r="18" spans="5:8" x14ac:dyDescent="0.4">
      <c r="E18" s="161" t="s">
        <v>271</v>
      </c>
      <c r="F18" s="162"/>
      <c r="G18" s="161"/>
      <c r="H18" s="163">
        <f>SUM(H9:H17)</f>
        <v>26500</v>
      </c>
    </row>
    <row r="20" spans="5:8" x14ac:dyDescent="0.4">
      <c r="E20" s="164" t="s">
        <v>136</v>
      </c>
      <c r="F20" s="164"/>
      <c r="G20" s="164"/>
      <c r="H20" s="165">
        <f>H4-H18</f>
        <v>0</v>
      </c>
    </row>
  </sheetData>
  <hyperlinks>
    <hyperlink ref="K1" location="'Project Status'!A1" display="'Project Status'!A1" xr:uid="{83EE5C0E-27A0-4A9C-BCE2-8E4412DE4189}"/>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1"/>
    <pageSetUpPr fitToPage="1"/>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Finalized</v>
      </c>
      <c r="G4" s="11" t="str">
        <f>VLOOKUP(A4,'Project Status'!C:K,9,FALSE)</f>
        <v>Ben Bedock</v>
      </c>
      <c r="H4" s="41">
        <f>VLOOKUP(A4,'Project Status'!C:M,11,FALSE)</f>
        <v>456850</v>
      </c>
      <c r="I4" s="202">
        <f>VLOOKUP(B4,'Project Status'!D:N,11,FALSE)</f>
        <v>412000</v>
      </c>
    </row>
    <row r="8" spans="1:11" x14ac:dyDescent="0.4">
      <c r="E8" s="42" t="s">
        <v>124</v>
      </c>
    </row>
    <row r="9" spans="1:11" x14ac:dyDescent="0.4">
      <c r="E9" s="22" t="s">
        <v>134</v>
      </c>
      <c r="F9" s="248">
        <v>44769</v>
      </c>
      <c r="H9" s="43">
        <v>79415.5</v>
      </c>
    </row>
    <row r="10" spans="1:11" x14ac:dyDescent="0.4">
      <c r="E10" s="33" t="s">
        <v>137</v>
      </c>
      <c r="F10" s="20"/>
      <c r="G10" s="20"/>
      <c r="H10" s="80">
        <f>372434.5+5000</f>
        <v>377434.5</v>
      </c>
    </row>
    <row r="11" spans="1:11" x14ac:dyDescent="0.4">
      <c r="E11" s="22" t="s">
        <v>360</v>
      </c>
      <c r="F11" t="s">
        <v>310</v>
      </c>
      <c r="H11" s="43">
        <v>-44850</v>
      </c>
    </row>
    <row r="18" spans="5:8" x14ac:dyDescent="0.4">
      <c r="E18" s="161" t="s">
        <v>271</v>
      </c>
      <c r="F18" s="162"/>
      <c r="G18" s="161"/>
      <c r="H18" s="163">
        <f>SUM(H9:H17)</f>
        <v>412000</v>
      </c>
    </row>
    <row r="20" spans="5:8" x14ac:dyDescent="0.4">
      <c r="E20" s="164" t="s">
        <v>136</v>
      </c>
      <c r="F20" s="164"/>
      <c r="G20" s="164"/>
      <c r="H20" s="165">
        <f>I4-H18</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N32"/>
  <sheetViews>
    <sheetView zoomScaleNormal="100" workbookViewId="0">
      <selection activeCell="D17" sqref="D17"/>
    </sheetView>
  </sheetViews>
  <sheetFormatPr defaultRowHeight="14.6" x14ac:dyDescent="0.4"/>
  <cols>
    <col min="1" max="1" width="19.84375" customWidth="1"/>
    <col min="2" max="2" width="12.53515625" customWidth="1"/>
    <col min="3" max="5" width="15.3828125" customWidth="1"/>
  </cols>
  <sheetData>
    <row r="1" spans="1:14" s="8" customFormat="1" x14ac:dyDescent="0.4">
      <c r="A1" s="10" t="s">
        <v>189</v>
      </c>
      <c r="B1"/>
      <c r="C1"/>
      <c r="D1"/>
      <c r="E1"/>
    </row>
    <row r="2" spans="1:14" s="8" customFormat="1" x14ac:dyDescent="0.4">
      <c r="A2" s="95" t="s">
        <v>112</v>
      </c>
      <c r="B2" s="94">
        <v>45329</v>
      </c>
      <c r="C2"/>
      <c r="D2"/>
      <c r="E2"/>
    </row>
    <row r="4" spans="1:14" x14ac:dyDescent="0.4">
      <c r="A4" s="10" t="s">
        <v>230</v>
      </c>
      <c r="D4" s="69"/>
    </row>
    <row r="5" spans="1:14" ht="29.15" x14ac:dyDescent="0.4">
      <c r="A5" s="23" t="s">
        <v>86</v>
      </c>
      <c r="B5" s="65" t="s">
        <v>99</v>
      </c>
      <c r="C5" s="134" t="s">
        <v>346</v>
      </c>
      <c r="D5" s="28" t="s">
        <v>348</v>
      </c>
      <c r="E5" s="29" t="s">
        <v>347</v>
      </c>
    </row>
    <row r="6" spans="1:14" x14ac:dyDescent="0.4">
      <c r="A6" t="s">
        <v>194</v>
      </c>
      <c r="B6" s="21">
        <f>Contributions!B5</f>
        <v>1075461.7320675128</v>
      </c>
      <c r="C6" s="57">
        <f>'Shared Building Allocation'!C5*1000000</f>
        <v>3663826</v>
      </c>
      <c r="D6" s="58">
        <f>'Shared Building Allocation'!F5*1000000</f>
        <v>2276289.625</v>
      </c>
      <c r="E6" s="59">
        <f t="shared" ref="E6:E14" si="0">D6-C6</f>
        <v>-1387536.375</v>
      </c>
      <c r="H6" s="26"/>
      <c r="I6" s="210"/>
      <c r="J6" s="210"/>
      <c r="K6" s="210"/>
      <c r="L6" s="210"/>
      <c r="M6" s="210"/>
      <c r="N6" s="210"/>
    </row>
    <row r="7" spans="1:14" x14ac:dyDescent="0.4">
      <c r="A7" t="s">
        <v>196</v>
      </c>
      <c r="B7" s="21">
        <f>Contributions!B6</f>
        <v>121421.42689276834</v>
      </c>
      <c r="C7" s="66">
        <f>'Shared Building Allocation'!C6*1000000</f>
        <v>413652</v>
      </c>
      <c r="D7" s="67">
        <f>'Shared Building Allocation'!F6*1000000</f>
        <v>574290</v>
      </c>
      <c r="E7" s="68">
        <f t="shared" si="0"/>
        <v>160638</v>
      </c>
      <c r="H7" s="26"/>
      <c r="I7" s="210"/>
      <c r="J7" s="210"/>
      <c r="K7" s="210"/>
      <c r="L7" s="210"/>
      <c r="M7" s="210"/>
      <c r="N7" s="210"/>
    </row>
    <row r="8" spans="1:14" x14ac:dyDescent="0.4">
      <c r="A8" t="s">
        <v>197</v>
      </c>
      <c r="B8" s="21">
        <f>Contributions!B7</f>
        <v>57814.730923479161</v>
      </c>
      <c r="C8" s="66">
        <f>'Shared Building Allocation'!C7*1000000</f>
        <v>196960</v>
      </c>
      <c r="D8" s="67">
        <f>'Shared Building Allocation'!F7*1000000</f>
        <v>96362.5</v>
      </c>
      <c r="E8" s="68">
        <f t="shared" si="0"/>
        <v>-100597.5</v>
      </c>
      <c r="H8" s="26"/>
      <c r="I8" s="210"/>
      <c r="J8" s="210"/>
      <c r="K8" s="210"/>
      <c r="L8" s="210"/>
      <c r="M8" s="210"/>
      <c r="N8" s="210"/>
    </row>
    <row r="9" spans="1:14" x14ac:dyDescent="0.4">
      <c r="A9" t="s">
        <v>198</v>
      </c>
      <c r="B9" s="21">
        <f>Contributions!B8</f>
        <v>537962.332719445</v>
      </c>
      <c r="C9" s="66">
        <f>'Shared Building Allocation'!C8*1000000</f>
        <v>1832701</v>
      </c>
      <c r="D9" s="67">
        <f>'Shared Building Allocation'!F8*1000000</f>
        <v>353000</v>
      </c>
      <c r="E9" s="68">
        <f t="shared" si="0"/>
        <v>-1479701</v>
      </c>
      <c r="H9" s="26"/>
      <c r="I9" s="210"/>
      <c r="J9" s="210"/>
      <c r="K9" s="210"/>
      <c r="L9" s="210"/>
      <c r="M9" s="210"/>
      <c r="N9" s="210"/>
    </row>
    <row r="10" spans="1:14" x14ac:dyDescent="0.4">
      <c r="A10" t="s">
        <v>199</v>
      </c>
      <c r="B10" s="21">
        <f>Contributions!B9</f>
        <v>120155.48460329951</v>
      </c>
      <c r="C10" s="66">
        <f>'Shared Building Allocation'!C9*1000000</f>
        <v>409339</v>
      </c>
      <c r="D10" s="67">
        <f>'Shared Building Allocation'!F9*1000000</f>
        <v>1206134.5</v>
      </c>
      <c r="E10" s="68">
        <f t="shared" si="0"/>
        <v>796795.5</v>
      </c>
      <c r="H10" s="26"/>
      <c r="I10" s="210"/>
      <c r="J10" s="210"/>
      <c r="K10" s="210"/>
      <c r="L10" s="210"/>
      <c r="M10" s="210"/>
      <c r="N10" s="210"/>
    </row>
    <row r="11" spans="1:14" x14ac:dyDescent="0.4">
      <c r="A11" t="s">
        <v>201</v>
      </c>
      <c r="B11" s="21">
        <f>Contributions!B10</f>
        <v>280022.39987629937</v>
      </c>
      <c r="C11" s="66">
        <f>'Shared Building Allocation'!C10*1000000</f>
        <v>953965</v>
      </c>
      <c r="D11" s="67">
        <f>'Shared Building Allocation'!F10*1000000</f>
        <v>1036871.8750000001</v>
      </c>
      <c r="E11" s="68">
        <f t="shared" si="0"/>
        <v>82906.875000000116</v>
      </c>
      <c r="H11" s="26"/>
      <c r="I11" s="210"/>
      <c r="J11" s="210"/>
      <c r="K11" s="210"/>
      <c r="L11" s="210"/>
      <c r="M11" s="210"/>
      <c r="N11" s="210"/>
    </row>
    <row r="12" spans="1:14" x14ac:dyDescent="0.4">
      <c r="A12" t="s">
        <v>200</v>
      </c>
      <c r="B12" s="21">
        <f>Contributions!B11</f>
        <v>106166.70000000001</v>
      </c>
      <c r="C12" s="66">
        <f>'Shared Building Allocation'!C11*1000000</f>
        <v>361683</v>
      </c>
      <c r="D12" s="67">
        <f>'Shared Building Allocation'!F11*1000000</f>
        <v>4900</v>
      </c>
      <c r="E12" s="68">
        <f t="shared" si="0"/>
        <v>-356783</v>
      </c>
      <c r="H12" s="26"/>
      <c r="I12" s="210"/>
      <c r="J12" s="210"/>
      <c r="K12" s="210"/>
      <c r="L12" s="210"/>
      <c r="M12" s="210"/>
      <c r="N12" s="210"/>
    </row>
    <row r="13" spans="1:14" x14ac:dyDescent="0.4">
      <c r="A13" t="s">
        <v>195</v>
      </c>
      <c r="B13" s="21">
        <f>Contributions!B12</f>
        <v>59008.361666666671</v>
      </c>
      <c r="C13" s="66">
        <f>'Shared Building Allocation'!C12*1000000</f>
        <v>201027</v>
      </c>
      <c r="D13" s="67">
        <f>'Shared Building Allocation'!F12*1000000</f>
        <v>300000</v>
      </c>
      <c r="E13" s="68">
        <f t="shared" si="0"/>
        <v>98973</v>
      </c>
      <c r="H13" s="26"/>
      <c r="I13" s="210"/>
      <c r="J13" s="210"/>
      <c r="K13" s="210"/>
      <c r="L13" s="210"/>
      <c r="M13" s="210"/>
      <c r="N13" s="210"/>
    </row>
    <row r="14" spans="1:14" x14ac:dyDescent="0.4">
      <c r="A14" t="s">
        <v>202</v>
      </c>
      <c r="B14" s="21">
        <f>Contributions!B13</f>
        <v>390796.88477064227</v>
      </c>
      <c r="C14" s="66">
        <f>'Shared Building Allocation'!C13*1000000</f>
        <v>1331346</v>
      </c>
      <c r="D14" s="67">
        <f>'Shared Building Allocation'!F13*1000000</f>
        <v>2949437.76</v>
      </c>
      <c r="E14" s="68">
        <f t="shared" si="0"/>
        <v>1618091.7599999998</v>
      </c>
      <c r="H14" s="26"/>
      <c r="I14" s="210"/>
      <c r="J14" s="210"/>
      <c r="K14" s="210"/>
      <c r="L14" s="210"/>
      <c r="M14" s="210"/>
      <c r="N14" s="210"/>
    </row>
    <row r="15" spans="1:14" x14ac:dyDescent="0.4">
      <c r="A15" s="24"/>
      <c r="B15" s="24">
        <v>2748810.0535201132</v>
      </c>
      <c r="C15" s="63">
        <f>SUM(C6:C14)</f>
        <v>9364499</v>
      </c>
      <c r="D15" s="62">
        <f>SUM(D6:D14)</f>
        <v>8797286.2599999998</v>
      </c>
      <c r="E15" s="61">
        <f>SUM(E6:E14)</f>
        <v>-567212.74000000022</v>
      </c>
      <c r="H15" s="26"/>
      <c r="I15" s="210"/>
      <c r="J15" s="210"/>
      <c r="K15" s="210"/>
      <c r="L15" s="210"/>
      <c r="M15" s="210"/>
      <c r="N15" s="210"/>
    </row>
    <row r="16" spans="1:14" x14ac:dyDescent="0.4">
      <c r="A16" s="26"/>
      <c r="H16" s="26"/>
    </row>
    <row r="17" spans="1:8" x14ac:dyDescent="0.4">
      <c r="A17" s="26"/>
      <c r="H17" s="26"/>
    </row>
    <row r="18" spans="1:8" x14ac:dyDescent="0.4">
      <c r="A18" s="26"/>
      <c r="H18" s="26"/>
    </row>
    <row r="19" spans="1:8" s="20" customFormat="1" ht="14.7" customHeight="1" x14ac:dyDescent="0.4">
      <c r="A19" s="10" t="s">
        <v>248</v>
      </c>
      <c r="B19"/>
      <c r="C19"/>
      <c r="D19" s="69" t="s">
        <v>170</v>
      </c>
      <c r="E19"/>
    </row>
    <row r="20" spans="1:8" s="20" customFormat="1" ht="29.15" x14ac:dyDescent="0.4">
      <c r="A20" s="129" t="s">
        <v>86</v>
      </c>
      <c r="B20" s="130" t="s">
        <v>99</v>
      </c>
      <c r="C20" s="214" t="s">
        <v>346</v>
      </c>
      <c r="D20" s="134" t="s">
        <v>349</v>
      </c>
      <c r="E20" s="135" t="s">
        <v>350</v>
      </c>
    </row>
    <row r="21" spans="1:8" s="20" customFormat="1" x14ac:dyDescent="0.4">
      <c r="A21" t="s">
        <v>194</v>
      </c>
      <c r="B21" s="21">
        <f>Contributions!F5</f>
        <v>1059147</v>
      </c>
      <c r="C21" s="133">
        <f>Contributions!G5</f>
        <v>4204813.59</v>
      </c>
      <c r="D21" s="57">
        <f>'Shared Building Allocation'!K5*1000000</f>
        <v>1972551.6640000001</v>
      </c>
      <c r="E21" s="137">
        <f t="shared" ref="E21:E29" si="1">D21-C21</f>
        <v>-2232261.926</v>
      </c>
    </row>
    <row r="22" spans="1:8" s="20" customFormat="1" x14ac:dyDescent="0.4">
      <c r="A22" t="s">
        <v>196</v>
      </c>
      <c r="B22" s="21">
        <f>Contributions!F6</f>
        <v>121421</v>
      </c>
      <c r="C22" s="133">
        <f>Contributions!G6</f>
        <v>482041.37</v>
      </c>
      <c r="D22" s="66">
        <f>'Shared Building Allocation'!K6*1000000</f>
        <v>1964100</v>
      </c>
      <c r="E22" s="138">
        <f t="shared" si="1"/>
        <v>1482058.63</v>
      </c>
    </row>
    <row r="23" spans="1:8" s="20" customFormat="1" x14ac:dyDescent="0.4">
      <c r="A23" t="s">
        <v>197</v>
      </c>
      <c r="B23" s="21">
        <f>Contributions!F7</f>
        <v>58263</v>
      </c>
      <c r="C23" s="133">
        <f>Contributions!G7</f>
        <v>231304.11000000002</v>
      </c>
      <c r="D23" s="66">
        <f>'Shared Building Allocation'!K7*1000000</f>
        <v>3660360</v>
      </c>
      <c r="E23" s="138">
        <f t="shared" si="1"/>
        <v>3429055.89</v>
      </c>
    </row>
    <row r="24" spans="1:8" s="20" customFormat="1" x14ac:dyDescent="0.4">
      <c r="A24" t="s">
        <v>198</v>
      </c>
      <c r="B24" s="21">
        <f>Contributions!F8</f>
        <v>552478</v>
      </c>
      <c r="C24" s="133">
        <f>Contributions!G8</f>
        <v>2193337.66</v>
      </c>
      <c r="D24" s="66">
        <f>'Shared Building Allocation'!K8*1000000</f>
        <v>2024932.9999999998</v>
      </c>
      <c r="E24" s="138">
        <f t="shared" si="1"/>
        <v>-168404.66000000038</v>
      </c>
    </row>
    <row r="25" spans="1:8" x14ac:dyDescent="0.4">
      <c r="A25" t="s">
        <v>199</v>
      </c>
      <c r="B25" s="21">
        <f>Contributions!F9</f>
        <v>120155</v>
      </c>
      <c r="C25" s="133">
        <f>Contributions!G9</f>
        <v>477015.35000000003</v>
      </c>
      <c r="D25" s="66">
        <f>'Shared Building Allocation'!K9*1000000</f>
        <v>420000</v>
      </c>
      <c r="E25" s="138">
        <f t="shared" si="1"/>
        <v>-57015.350000000035</v>
      </c>
    </row>
    <row r="26" spans="1:8" x14ac:dyDescent="0.4">
      <c r="A26" t="s">
        <v>201</v>
      </c>
      <c r="B26" s="21">
        <f>Contributions!F10</f>
        <v>265674</v>
      </c>
      <c r="C26" s="133">
        <f>Contributions!G10</f>
        <v>1054725.78</v>
      </c>
      <c r="D26" s="66">
        <f>'Shared Building Allocation'!K10*1000000</f>
        <v>95480.375999999989</v>
      </c>
      <c r="E26" s="138">
        <f t="shared" si="1"/>
        <v>-959245.4040000001</v>
      </c>
    </row>
    <row r="27" spans="1:8" x14ac:dyDescent="0.4">
      <c r="A27" t="s">
        <v>200</v>
      </c>
      <c r="B27" s="21">
        <f>Contributions!F11</f>
        <v>105746</v>
      </c>
      <c r="C27" s="133">
        <f>Contributions!G11</f>
        <v>419811.62</v>
      </c>
      <c r="D27" s="66">
        <f>'Shared Building Allocation'!K11*1000000</f>
        <v>255957</v>
      </c>
      <c r="E27" s="138">
        <f t="shared" si="1"/>
        <v>-163854.62</v>
      </c>
    </row>
    <row r="28" spans="1:8" x14ac:dyDescent="0.4">
      <c r="A28" t="s">
        <v>195</v>
      </c>
      <c r="B28" s="21">
        <f>Contributions!F12</f>
        <v>99140</v>
      </c>
      <c r="C28" s="133">
        <f>Contributions!G12</f>
        <v>393585.80000000005</v>
      </c>
      <c r="D28" s="66">
        <f>'Shared Building Allocation'!K12*1000000</f>
        <v>0</v>
      </c>
      <c r="E28" s="138">
        <f t="shared" si="1"/>
        <v>-393585.80000000005</v>
      </c>
    </row>
    <row r="29" spans="1:8" x14ac:dyDescent="0.4">
      <c r="A29" t="s">
        <v>202</v>
      </c>
      <c r="B29" s="21">
        <f>Contributions!F13</f>
        <v>396133</v>
      </c>
      <c r="C29" s="133">
        <f>Contributions!G13</f>
        <v>1572648.01</v>
      </c>
      <c r="D29" s="66">
        <f>'Shared Building Allocation'!K13*1000000</f>
        <v>21371</v>
      </c>
      <c r="E29" s="138">
        <f t="shared" si="1"/>
        <v>-1551277.01</v>
      </c>
    </row>
    <row r="30" spans="1:8" x14ac:dyDescent="0.4">
      <c r="A30" s="131"/>
      <c r="B30" s="131">
        <v>2748810.0535201132</v>
      </c>
      <c r="C30" s="132">
        <f>SUM(C21:C29)</f>
        <v>11029283.289999999</v>
      </c>
      <c r="D30" s="63">
        <f>SUM(D21:D29)</f>
        <v>10414753.039999999</v>
      </c>
      <c r="E30" s="136">
        <f>SUM(E21:E29)</f>
        <v>-614530.25000000093</v>
      </c>
    </row>
    <row r="31" spans="1:8" x14ac:dyDescent="0.4">
      <c r="A31" s="20"/>
      <c r="B31" s="20"/>
      <c r="C31" s="206"/>
    </row>
    <row r="32" spans="1:8" x14ac:dyDescent="0.4">
      <c r="C32" s="36"/>
    </row>
  </sheetData>
  <sortState xmlns:xlrd2="http://schemas.microsoft.com/office/spreadsheetml/2017/richdata2" ref="H6:H18">
    <sortCondition ref="H6:H18"/>
  </sortState>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Finalized</v>
      </c>
      <c r="G4" s="11" t="str">
        <f>VLOOKUP(A4,'Project Status'!C:K,9,FALSE)</f>
        <v>Ben Bedock</v>
      </c>
      <c r="H4" s="99">
        <f>VLOOKUP(A4,'Project Status'!C:M,11,FALSE)</f>
        <v>344155.26</v>
      </c>
      <c r="I4" s="202">
        <f>VLOOKUP(B4,'Project Status'!D:N,11,FALSE)</f>
        <v>307776.26</v>
      </c>
    </row>
    <row r="8" spans="1:11" x14ac:dyDescent="0.4">
      <c r="E8" s="42" t="s">
        <v>124</v>
      </c>
    </row>
    <row r="9" spans="1:11" x14ac:dyDescent="0.4">
      <c r="E9" s="22" t="s">
        <v>272</v>
      </c>
      <c r="F9" s="34" t="s">
        <v>139</v>
      </c>
      <c r="H9" s="43">
        <v>344155.26</v>
      </c>
    </row>
    <row r="10" spans="1:11" x14ac:dyDescent="0.4">
      <c r="E10" s="22" t="s">
        <v>360</v>
      </c>
      <c r="F10" t="s">
        <v>310</v>
      </c>
      <c r="H10" s="43">
        <v>-36379</v>
      </c>
    </row>
    <row r="12" spans="1:11" x14ac:dyDescent="0.4">
      <c r="E12" s="22"/>
    </row>
    <row r="13" spans="1:11" x14ac:dyDescent="0.4">
      <c r="E13" s="22"/>
      <c r="F13" s="10"/>
      <c r="G13" s="10"/>
      <c r="H13" s="46"/>
    </row>
    <row r="14" spans="1:11" x14ac:dyDescent="0.4">
      <c r="E14" s="22"/>
    </row>
    <row r="18" spans="5:8" x14ac:dyDescent="0.4">
      <c r="E18" s="161" t="s">
        <v>271</v>
      </c>
      <c r="F18" s="162"/>
      <c r="G18" s="161"/>
      <c r="H18" s="163">
        <f>SUM(H9:H17)</f>
        <v>307776.26</v>
      </c>
    </row>
    <row r="20" spans="5:8" x14ac:dyDescent="0.4">
      <c r="E20" s="164" t="s">
        <v>136</v>
      </c>
      <c r="F20" s="164"/>
      <c r="G20" s="164"/>
      <c r="H20" s="165">
        <f>I4-H18</f>
        <v>0</v>
      </c>
    </row>
  </sheetData>
  <hyperlinks>
    <hyperlink ref="K1" location="'Project Status'!A1" display="'Project Status'!A1" xr:uid="{6B2AECA2-CEB3-47AB-8FFB-58AED0692E6C}"/>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Warranty or Construction Closeout</v>
      </c>
      <c r="G4" s="11" t="str">
        <f>VLOOKUP(A4,'Project Status'!C:K,9,FALSE)</f>
        <v>Sean Rewers</v>
      </c>
      <c r="H4" s="99">
        <f>VLOOKUP(A4,'Project Status'!C:M,11,FALSE)</f>
        <v>405791</v>
      </c>
      <c r="I4" s="202">
        <f>VLOOKUP(B4,'Project Status'!D:N,11,FALSE)</f>
        <v>362559.64</v>
      </c>
    </row>
    <row r="8" spans="1:11" x14ac:dyDescent="0.4">
      <c r="E8" s="42" t="s">
        <v>124</v>
      </c>
    </row>
    <row r="9" spans="1:11" x14ac:dyDescent="0.4">
      <c r="E9" s="22" t="s">
        <v>233</v>
      </c>
      <c r="F9" s="34" t="s">
        <v>139</v>
      </c>
      <c r="H9" s="43">
        <v>405791</v>
      </c>
    </row>
    <row r="13" spans="1:11" x14ac:dyDescent="0.4">
      <c r="F13" s="10"/>
      <c r="G13" s="10"/>
      <c r="H13" s="46"/>
    </row>
    <row r="18" spans="5:8" x14ac:dyDescent="0.4">
      <c r="E18" s="161" t="s">
        <v>271</v>
      </c>
      <c r="F18" s="162"/>
      <c r="G18" s="161"/>
      <c r="H18" s="163">
        <f>SUM(H9:H17)</f>
        <v>405791</v>
      </c>
    </row>
    <row r="20" spans="5:8" x14ac:dyDescent="0.4">
      <c r="E20" s="164" t="s">
        <v>136</v>
      </c>
      <c r="F20" s="164"/>
      <c r="G20" s="164"/>
      <c r="H20" s="165">
        <f>H4-H18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8"/>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Financial Closeout</v>
      </c>
      <c r="G4" s="11" t="str">
        <f>VLOOKUP(A4,'Project Status'!C:K,9,FALSE)</f>
        <v>Ben Bedock</v>
      </c>
      <c r="H4" s="41">
        <f>VLOOKUP(A4,'Project Status'!C:M,11,FALSE)</f>
        <v>781870</v>
      </c>
      <c r="I4" s="202">
        <f>VLOOKUP(B4,'Project Status'!D:N,11,FALSE)</f>
        <v>722586.68</v>
      </c>
    </row>
    <row r="8" spans="1:11" x14ac:dyDescent="0.4">
      <c r="E8" s="42" t="s">
        <v>124</v>
      </c>
    </row>
    <row r="9" spans="1:11" x14ac:dyDescent="0.4">
      <c r="E9" s="22" t="s">
        <v>166</v>
      </c>
      <c r="F9" s="34" t="s">
        <v>139</v>
      </c>
      <c r="H9" s="110">
        <v>17050</v>
      </c>
    </row>
    <row r="10" spans="1:11" x14ac:dyDescent="0.4">
      <c r="E10" s="22" t="s">
        <v>226</v>
      </c>
      <c r="F10" t="s">
        <v>214</v>
      </c>
      <c r="H10" s="44">
        <v>764820</v>
      </c>
    </row>
    <row r="18" spans="5:8" x14ac:dyDescent="0.4">
      <c r="E18" s="161" t="s">
        <v>271</v>
      </c>
      <c r="F18" s="162"/>
      <c r="G18" s="161"/>
      <c r="H18" s="163">
        <f>SUM(H9:H17)</f>
        <v>781870</v>
      </c>
    </row>
    <row r="20" spans="5:8" x14ac:dyDescent="0.4">
      <c r="E20" s="164" t="s">
        <v>136</v>
      </c>
      <c r="F20" s="164"/>
      <c r="G20" s="164"/>
      <c r="H20" s="165">
        <f>H4-H18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8"/>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32.3828125" bestFit="1" customWidth="1"/>
    <col min="7" max="7" width="11.3046875" bestFit="1" customWidth="1"/>
    <col min="8" max="8" width="16.53515625" bestFit="1" customWidth="1"/>
    <col min="9" max="9" width="1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Warranty or Construction Closeout</v>
      </c>
      <c r="G4" s="11" t="str">
        <f>VLOOKUP(A4,'Project Status'!C:K,9,FALSE)</f>
        <v>Ben Bedock</v>
      </c>
      <c r="H4" s="41">
        <f>VLOOKUP(A4,'Project Status'!C:M,11,FALSE)</f>
        <v>1232681</v>
      </c>
      <c r="I4" s="202">
        <f>VLOOKUP(B4,'Project Status'!D:N,11,FALSE)</f>
        <v>1113460</v>
      </c>
    </row>
    <row r="8" spans="1:11" x14ac:dyDescent="0.4">
      <c r="E8" s="42" t="s">
        <v>124</v>
      </c>
    </row>
    <row r="9" spans="1:11" x14ac:dyDescent="0.4">
      <c r="E9" t="s">
        <v>240</v>
      </c>
      <c r="F9" s="34" t="s">
        <v>139</v>
      </c>
      <c r="H9" s="43">
        <v>1232681</v>
      </c>
    </row>
    <row r="13" spans="1:11" x14ac:dyDescent="0.4">
      <c r="F13" s="10"/>
      <c r="G13" s="10"/>
      <c r="H13" s="46"/>
    </row>
    <row r="18" spans="5:8" x14ac:dyDescent="0.4">
      <c r="E18" s="161" t="s">
        <v>271</v>
      </c>
      <c r="F18" s="162"/>
      <c r="G18" s="161"/>
      <c r="H18" s="163">
        <f>SUM(H9:H17)</f>
        <v>1232681</v>
      </c>
    </row>
    <row r="20" spans="5:8" x14ac:dyDescent="0.4">
      <c r="E20" s="164" t="s">
        <v>136</v>
      </c>
      <c r="F20" s="164"/>
      <c r="G20" s="164"/>
      <c r="H20" s="165">
        <f>H4-H18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32.3828125" bestFit="1" customWidth="1"/>
    <col min="7" max="7" width="12.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Warranty or Construction Closeout</v>
      </c>
      <c r="G4" s="11" t="str">
        <f>VLOOKUP(A4,'Project Status'!C:K,9,FALSE)</f>
        <v>Sean Rewers</v>
      </c>
      <c r="H4" s="41">
        <f>VLOOKUP(A4,'Project Status'!C:M,11,FALSE)</f>
        <v>218202</v>
      </c>
      <c r="I4" s="202">
        <f>VLOOKUP(B4,'Project Status'!D:N,11,FALSE)</f>
        <v>195665</v>
      </c>
    </row>
    <row r="8" spans="1:11" x14ac:dyDescent="0.4">
      <c r="E8" s="42" t="s">
        <v>124</v>
      </c>
    </row>
    <row r="9" spans="1:11" x14ac:dyDescent="0.4">
      <c r="E9" s="22" t="s">
        <v>215</v>
      </c>
      <c r="F9" s="34" t="s">
        <v>139</v>
      </c>
      <c r="H9" s="43">
        <v>218202</v>
      </c>
    </row>
    <row r="18" spans="5:8" x14ac:dyDescent="0.4">
      <c r="E18" s="161" t="s">
        <v>271</v>
      </c>
      <c r="F18" s="162"/>
      <c r="G18" s="161"/>
      <c r="H18" s="163">
        <f>SUM(H9:H17)</f>
        <v>218202</v>
      </c>
    </row>
    <row r="20" spans="5:8" x14ac:dyDescent="0.4">
      <c r="E20" s="164" t="s">
        <v>136</v>
      </c>
      <c r="F20" s="164"/>
      <c r="G20" s="164"/>
      <c r="H20" s="165">
        <f>H4-H18</f>
        <v>0</v>
      </c>
    </row>
  </sheetData>
  <hyperlinks>
    <hyperlink ref="K1" location="'Project Status'!A1" display="'Project Status'!A1" xr:uid="{CC43B7B6-1C16-4566-88FC-577E36BE5553}"/>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57.53515625" bestFit="1" customWidth="1"/>
    <col min="6" max="6" width="7" bestFit="1" customWidth="1"/>
    <col min="7" max="7" width="11"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Air Handling Unit Replacement -Phase 1</v>
      </c>
      <c r="F4" s="11" t="str">
        <f>VLOOKUP(A4,'Project Status'!C:J,8,FALSE)</f>
        <v>Design</v>
      </c>
      <c r="G4" s="11" t="str">
        <f>VLOOKUP(A4,'Project Status'!C:K,9,FALSE)</f>
        <v>Hans Mooy</v>
      </c>
      <c r="H4" s="41">
        <f>VLOOKUP(A4,'Project Status'!C:M,11,FALSE)</f>
        <v>223000</v>
      </c>
    </row>
    <row r="8" spans="1:11" x14ac:dyDescent="0.4">
      <c r="E8" s="42" t="s">
        <v>124</v>
      </c>
    </row>
    <row r="9" spans="1:11" x14ac:dyDescent="0.4">
      <c r="E9" s="22" t="s">
        <v>166</v>
      </c>
      <c r="F9" s="34" t="s">
        <v>139</v>
      </c>
      <c r="H9" s="43">
        <v>53750</v>
      </c>
    </row>
    <row r="10" spans="1:11" x14ac:dyDescent="0.4">
      <c r="E10" s="22" t="s">
        <v>233</v>
      </c>
      <c r="F10" t="s">
        <v>214</v>
      </c>
      <c r="H10" s="44">
        <v>169250</v>
      </c>
    </row>
    <row r="18" spans="5:8" x14ac:dyDescent="0.4">
      <c r="E18" s="161" t="s">
        <v>271</v>
      </c>
      <c r="F18" s="162"/>
      <c r="G18" s="161"/>
      <c r="H18" s="163">
        <f>SUM(H9:H17)</f>
        <v>223000</v>
      </c>
    </row>
    <row r="20" spans="5:8" x14ac:dyDescent="0.4">
      <c r="E20" s="164" t="s">
        <v>136</v>
      </c>
      <c r="F20" s="164"/>
      <c r="G20" s="164"/>
      <c r="H20" s="165">
        <f>H4-H18</f>
        <v>0</v>
      </c>
    </row>
  </sheetData>
  <hyperlinks>
    <hyperlink ref="K1" location="'Project Status'!A1" display="'Project Status'!A1" xr:uid="{C511261E-C1B4-4F9A-B7F9-781B46E9E53D}"/>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8"/>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Financial Closeout</v>
      </c>
      <c r="G4" s="11" t="str">
        <f>VLOOKUP(A4,'Project Status'!C:K,9,FALSE)</f>
        <v>Ben Bedock</v>
      </c>
      <c r="H4" s="99">
        <f>VLOOKUP(A4,'Project Status'!C:M,11,FALSE)</f>
        <v>630554</v>
      </c>
      <c r="I4" s="202">
        <f>VLOOKUP(B4,'Project Status'!D:N,11,FALSE)</f>
        <v>571789</v>
      </c>
    </row>
    <row r="8" spans="1:11" x14ac:dyDescent="0.4">
      <c r="E8" s="42" t="s">
        <v>124</v>
      </c>
    </row>
    <row r="9" spans="1:11" x14ac:dyDescent="0.4">
      <c r="E9" s="22" t="s">
        <v>226</v>
      </c>
      <c r="F9" s="34" t="s">
        <v>139</v>
      </c>
      <c r="H9" s="110">
        <v>2050</v>
      </c>
    </row>
    <row r="10" spans="1:11" x14ac:dyDescent="0.4">
      <c r="E10" s="22" t="s">
        <v>254</v>
      </c>
      <c r="F10" t="s">
        <v>214</v>
      </c>
      <c r="H10" s="43">
        <v>628504</v>
      </c>
    </row>
    <row r="18" spans="5:8" x14ac:dyDescent="0.4">
      <c r="E18" s="161" t="s">
        <v>271</v>
      </c>
      <c r="F18" s="162"/>
      <c r="G18" s="161"/>
      <c r="H18" s="163">
        <f>SUM(H9:H17)</f>
        <v>630554</v>
      </c>
    </row>
    <row r="20" spans="5:8" x14ac:dyDescent="0.4">
      <c r="E20" s="164" t="s">
        <v>136</v>
      </c>
      <c r="F20" s="164"/>
      <c r="G20" s="164"/>
      <c r="H20" s="165">
        <f>H4-H18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32.38281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Warranty or Construction Closeout</v>
      </c>
      <c r="G4" s="11" t="str">
        <f>VLOOKUP(A4,'Project Status'!C:K,9,FALSE)</f>
        <v>Ben Bedock</v>
      </c>
      <c r="H4" s="41">
        <f>VLOOKUP(A4,'Project Status'!C:M,11,FALSE)</f>
        <v>125875</v>
      </c>
      <c r="I4" s="202">
        <f>VLOOKUP(B4,'Project Status'!D:N,11,FALSE)</f>
        <v>114350</v>
      </c>
    </row>
    <row r="8" spans="1:11" x14ac:dyDescent="0.4">
      <c r="E8" s="42" t="s">
        <v>124</v>
      </c>
    </row>
    <row r="9" spans="1:11" x14ac:dyDescent="0.4">
      <c r="E9" t="s">
        <v>285</v>
      </c>
      <c r="F9" s="34" t="s">
        <v>139</v>
      </c>
      <c r="H9" s="43">
        <v>125875</v>
      </c>
    </row>
    <row r="13" spans="1:11" x14ac:dyDescent="0.4">
      <c r="F13" s="10"/>
      <c r="G13" s="10"/>
      <c r="H13" s="46"/>
    </row>
    <row r="18" spans="5:8" x14ac:dyDescent="0.4">
      <c r="E18" s="161" t="s">
        <v>271</v>
      </c>
      <c r="F18" s="162"/>
      <c r="G18" s="161"/>
      <c r="H18" s="163">
        <f>SUM(H9:H17)</f>
        <v>125875</v>
      </c>
    </row>
    <row r="20" spans="5:8" x14ac:dyDescent="0.4">
      <c r="E20" s="164" t="s">
        <v>136</v>
      </c>
      <c r="F20" s="164"/>
      <c r="G20" s="164"/>
      <c r="H20" s="165">
        <f>H4-H18</f>
        <v>0</v>
      </c>
    </row>
  </sheetData>
  <hyperlinks>
    <hyperlink ref="K1" location="'Project Status'!A1" display="'Project Status'!A1" xr:uid="{A5FAC7C1-1127-4CE7-9C4D-289D5BC5630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1">
        <f>VLOOKUP(A4,'Project Status'!C:M,11,FALSE)</f>
        <v>146500</v>
      </c>
    </row>
    <row r="8" spans="1:11" x14ac:dyDescent="0.4">
      <c r="E8" s="42" t="s">
        <v>124</v>
      </c>
    </row>
    <row r="9" spans="1:11" x14ac:dyDescent="0.4">
      <c r="E9" s="22" t="s">
        <v>175</v>
      </c>
      <c r="F9" s="34" t="s">
        <v>139</v>
      </c>
      <c r="H9" s="43">
        <v>135000</v>
      </c>
    </row>
    <row r="10" spans="1:11" x14ac:dyDescent="0.4">
      <c r="E10" s="22" t="s">
        <v>233</v>
      </c>
      <c r="F10" t="s">
        <v>146</v>
      </c>
      <c r="H10" s="44">
        <v>11500</v>
      </c>
    </row>
    <row r="18" spans="5:8" x14ac:dyDescent="0.4">
      <c r="E18" s="161" t="s">
        <v>271</v>
      </c>
      <c r="F18" s="162"/>
      <c r="G18" s="161"/>
      <c r="H18" s="163">
        <f>SUM(H9:H17)</f>
        <v>146500</v>
      </c>
    </row>
    <row r="20" spans="5:8" x14ac:dyDescent="0.4">
      <c r="E20" s="164" t="s">
        <v>136</v>
      </c>
      <c r="F20" s="164"/>
      <c r="G20" s="164"/>
      <c r="H20" s="165">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99">
        <f>VLOOKUP(A4,'Project Status'!C:M,11,FALSE)</f>
        <v>231433</v>
      </c>
    </row>
    <row r="8" spans="1:11" x14ac:dyDescent="0.4">
      <c r="E8" s="42" t="s">
        <v>124</v>
      </c>
    </row>
    <row r="9" spans="1:11" x14ac:dyDescent="0.4">
      <c r="E9" s="22" t="s">
        <v>215</v>
      </c>
      <c r="F9" s="34" t="s">
        <v>139</v>
      </c>
      <c r="H9" s="43">
        <v>195000</v>
      </c>
    </row>
    <row r="10" spans="1:11" x14ac:dyDescent="0.4">
      <c r="E10" s="22" t="s">
        <v>233</v>
      </c>
      <c r="F10" t="s">
        <v>146</v>
      </c>
      <c r="H10" s="43">
        <v>11500</v>
      </c>
    </row>
    <row r="11" spans="1:11" x14ac:dyDescent="0.4">
      <c r="E11" s="22" t="s">
        <v>360</v>
      </c>
      <c r="F11" t="s">
        <v>341</v>
      </c>
      <c r="H11" s="43">
        <v>24933</v>
      </c>
    </row>
    <row r="12" spans="1:11" x14ac:dyDescent="0.4">
      <c r="H12" s="43"/>
    </row>
    <row r="13" spans="1:11" x14ac:dyDescent="0.4">
      <c r="H13" s="43"/>
    </row>
    <row r="14" spans="1:11" x14ac:dyDescent="0.4">
      <c r="H14" s="43"/>
    </row>
    <row r="15" spans="1:11" x14ac:dyDescent="0.4">
      <c r="H15" s="43"/>
    </row>
    <row r="16" spans="1:11" x14ac:dyDescent="0.4">
      <c r="H16" s="43"/>
    </row>
    <row r="17" spans="5:8" x14ac:dyDescent="0.4">
      <c r="H17" s="43"/>
    </row>
    <row r="18" spans="5:8" x14ac:dyDescent="0.4">
      <c r="E18" s="161" t="s">
        <v>271</v>
      </c>
      <c r="F18" s="162"/>
      <c r="G18" s="161"/>
      <c r="H18" s="163">
        <f>SUM(H9:H17)</f>
        <v>231433</v>
      </c>
    </row>
    <row r="20" spans="5:8" x14ac:dyDescent="0.4">
      <c r="E20" s="164" t="s">
        <v>136</v>
      </c>
      <c r="F20" s="164"/>
      <c r="G20" s="164"/>
      <c r="H20" s="165">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50"/>
  <sheetViews>
    <sheetView zoomScaleNormal="100" workbookViewId="0">
      <pane ySplit="5" topLeftCell="A6" activePane="bottomLeft" state="frozen"/>
      <selection activeCell="D17" sqref="D17"/>
      <selection pane="bottomLeft" activeCell="D17" sqref="D17"/>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8" width="14" style="43" customWidth="1"/>
  </cols>
  <sheetData>
    <row r="1" spans="1:8" s="8" customFormat="1" x14ac:dyDescent="0.4">
      <c r="B1" s="10" t="s">
        <v>190</v>
      </c>
      <c r="D1" s="10"/>
      <c r="F1" s="70"/>
      <c r="G1" s="70"/>
      <c r="H1" s="70"/>
    </row>
    <row r="2" spans="1:8" s="8" customFormat="1" x14ac:dyDescent="0.4">
      <c r="B2" s="93" t="s">
        <v>112</v>
      </c>
      <c r="C2" s="94">
        <v>45329</v>
      </c>
      <c r="D2" s="34"/>
      <c r="F2" s="70"/>
      <c r="G2" s="70"/>
      <c r="H2" s="70"/>
    </row>
    <row r="4" spans="1:8" x14ac:dyDescent="0.4">
      <c r="B4" s="10" t="s">
        <v>113</v>
      </c>
      <c r="C4" s="10"/>
      <c r="D4" s="10"/>
      <c r="F4" s="71" t="s">
        <v>170</v>
      </c>
      <c r="G4" s="71" t="s">
        <v>171</v>
      </c>
      <c r="H4" s="71" t="s">
        <v>171</v>
      </c>
    </row>
    <row r="5" spans="1:8" ht="43.75" x14ac:dyDescent="0.4">
      <c r="B5" s="64" t="s">
        <v>168</v>
      </c>
      <c r="C5" s="65" t="s">
        <v>167</v>
      </c>
      <c r="D5" s="64" t="s">
        <v>86</v>
      </c>
      <c r="E5" s="23" t="s">
        <v>169</v>
      </c>
      <c r="F5" s="72" t="s">
        <v>225</v>
      </c>
      <c r="G5" s="73" t="s">
        <v>351</v>
      </c>
      <c r="H5" s="126" t="s">
        <v>352</v>
      </c>
    </row>
    <row r="6" spans="1:8" x14ac:dyDescent="0.4">
      <c r="A6" s="108">
        <v>1</v>
      </c>
      <c r="B6" t="str">
        <f>VLOOKUP(C6,'Project Status'!C:J,8,FALSE)</f>
        <v>Finalized</v>
      </c>
      <c r="C6" s="60">
        <v>10085</v>
      </c>
      <c r="D6" s="26" t="str">
        <f>VLOOKUP(C6,'Project Status'!C:G,5,FALSE)</f>
        <v>Peabody</v>
      </c>
      <c r="E6" t="str">
        <f>VLOOKUP(C6,'Project Status'!C:I,7,FALSE)</f>
        <v>One Magnolia Circle - Modify/Upgrade Electrical and Grounding</v>
      </c>
      <c r="F6" s="106">
        <f>VLOOKUP(C6,'Project Status'!C:L,10,FALSE)</f>
        <v>17500</v>
      </c>
      <c r="G6" s="107">
        <f>VLOOKUP(C6,'Project Status'!C:R,16,FALSE)</f>
        <v>17500</v>
      </c>
      <c r="H6" s="127">
        <f>VLOOKUP(C6,'Project Status'!C:U,19,FALSE)</f>
        <v>0</v>
      </c>
    </row>
    <row r="7" spans="1:8" x14ac:dyDescent="0.4">
      <c r="A7" s="108">
        <f>A6+1</f>
        <v>2</v>
      </c>
      <c r="B7" t="str">
        <f>VLOOKUP(C7,'Project Status'!C:J,8,FALSE)</f>
        <v>Financial Closeout</v>
      </c>
      <c r="C7" s="60">
        <v>10098</v>
      </c>
      <c r="D7" s="26" t="str">
        <f>VLOOKUP(C7,'Project Status'!C:G,5,FALSE)</f>
        <v>SOM Basic Sciences</v>
      </c>
      <c r="E7" t="str">
        <f>VLOOKUP(C7,'Project Status'!C:I,7,FALSE)</f>
        <v>MRB III - 4th Floor - Replace Controls (Phase 2)</v>
      </c>
      <c r="F7" s="215">
        <f>VLOOKUP(C7,'Project Status'!C:L,10,FALSE)</f>
        <v>1216485.5</v>
      </c>
      <c r="G7" s="216">
        <f>VLOOKUP(C7,'Project Status'!C:R,16,FALSE)</f>
        <v>1216485.5</v>
      </c>
      <c r="H7" s="217">
        <f>VLOOKUP(C7,'Project Status'!C:U,19,FALSE)</f>
        <v>-4400.96</v>
      </c>
    </row>
    <row r="8" spans="1:8" x14ac:dyDescent="0.4">
      <c r="A8" s="108">
        <f t="shared" ref="A8:A48" si="0">A7+1</f>
        <v>3</v>
      </c>
      <c r="B8" t="str">
        <f>VLOOKUP(C8,'Project Status'!C:J,8,FALSE)</f>
        <v>Award</v>
      </c>
      <c r="C8" s="60">
        <v>10146</v>
      </c>
      <c r="D8" s="26" t="str">
        <f>VLOOKUP(C8,'Project Status'!C:G,5,FALSE)</f>
        <v>Nursing</v>
      </c>
      <c r="E8" t="str">
        <f>VLOOKUP(C8,'Project Status'!C:I,7,FALSE)</f>
        <v>Godchaux Hall - HVAC Upgrade</v>
      </c>
      <c r="F8" s="215">
        <f>VLOOKUP(C8,'Project Status'!C:L,10,FALSE)</f>
        <v>0</v>
      </c>
      <c r="G8" s="216">
        <f>VLOOKUP(C8,'Project Status'!C:R,16,FALSE)</f>
        <v>4900</v>
      </c>
      <c r="H8" s="217">
        <f>VLOOKUP(C8,'Project Status'!C:U,19,FALSE)</f>
        <v>255957</v>
      </c>
    </row>
    <row r="9" spans="1:8" x14ac:dyDescent="0.4">
      <c r="A9" s="108">
        <f t="shared" si="0"/>
        <v>4</v>
      </c>
      <c r="B9" t="str">
        <f>VLOOKUP(C9,'Project Status'!C:J,8,FALSE)</f>
        <v>Warranty or Construction Closeout</v>
      </c>
      <c r="C9" s="60">
        <v>20179</v>
      </c>
      <c r="D9" s="26" t="str">
        <f>VLOOKUP(C9,'Project Status'!C:G,5,FALSE)</f>
        <v>Law</v>
      </c>
      <c r="E9" t="str">
        <f>VLOOKUP(C9,'Project Status'!C:I,7,FALSE)</f>
        <v>Law School - Fire Alarm System Replacement</v>
      </c>
      <c r="F9" s="215">
        <f>VLOOKUP(C9,'Project Status'!C:L,10,FALSE)</f>
        <v>1445389</v>
      </c>
      <c r="G9" s="216">
        <f>VLOOKUP(C9,'Project Status'!C:R,16,FALSE)</f>
        <v>722694.5</v>
      </c>
      <c r="H9" s="217">
        <f>VLOOKUP(C9,'Project Status'!C:U,19,FALSE)</f>
        <v>0</v>
      </c>
    </row>
    <row r="10" spans="1:8" x14ac:dyDescent="0.4">
      <c r="A10" s="108">
        <f t="shared" si="0"/>
        <v>5</v>
      </c>
      <c r="B10" t="str">
        <f>VLOOKUP(C10,'Project Status'!C:J,8,FALSE)</f>
        <v>Warranty or Construction Closeout</v>
      </c>
      <c r="C10" s="60">
        <v>20336</v>
      </c>
      <c r="D10" s="26" t="str">
        <f>VLOOKUP(C10,'Project Status'!C:G,5,FALSE)</f>
        <v>Blair</v>
      </c>
      <c r="E10" t="str">
        <f>VLOOKUP(C10,'Project Status'!C:I,7,FALSE)</f>
        <v>Blair School of Music - Elevator #3 Modernization</v>
      </c>
      <c r="F10" s="215">
        <f>VLOOKUP(C10,'Project Status'!C:L,10,FALSE)</f>
        <v>327890</v>
      </c>
      <c r="G10" s="216">
        <f>VLOOKUP(C10,'Project Status'!C:R,16,FALSE)</f>
        <v>327890</v>
      </c>
      <c r="H10" s="217">
        <f>VLOOKUP(C10,'Project Status'!C:U,19,FALSE)</f>
        <v>0</v>
      </c>
    </row>
    <row r="11" spans="1:8" x14ac:dyDescent="0.4">
      <c r="A11" s="108">
        <f t="shared" si="0"/>
        <v>6</v>
      </c>
      <c r="B11" t="str">
        <f>VLOOKUP(C11,'Project Status'!C:J,8,FALSE)</f>
        <v>Construction</v>
      </c>
      <c r="C11" s="60">
        <v>20431</v>
      </c>
      <c r="D11" s="26" t="str">
        <f>VLOOKUP(C11,'Project Status'!C:G,5,FALSE)</f>
        <v>Divinity</v>
      </c>
      <c r="E11" t="str">
        <f>VLOOKUP(C11,'Project Status'!C:I,7,FALSE)</f>
        <v>Divinity Air Handling Unit Replacement, (5/6)- Phase 1</v>
      </c>
      <c r="F11" s="215">
        <f>VLOOKUP(C11,'Project Status'!C:L,10,FALSE)</f>
        <v>3800000</v>
      </c>
      <c r="G11" s="216">
        <f>VLOOKUP(C11,'Project Status'!C:R,16,FALSE)</f>
        <v>69862.5</v>
      </c>
      <c r="H11" s="217">
        <f>VLOOKUP(C11,'Project Status'!C:U,19,FALSE)</f>
        <v>3660360</v>
      </c>
    </row>
    <row r="12" spans="1:8" x14ac:dyDescent="0.4">
      <c r="A12" s="108">
        <f t="shared" si="0"/>
        <v>7</v>
      </c>
      <c r="B12" t="str">
        <f>VLOOKUP(C12,'Project Status'!C:J,8,FALSE)</f>
        <v>Warranty or Construction Closeout</v>
      </c>
      <c r="C12" s="60">
        <v>20478</v>
      </c>
      <c r="D12" s="26" t="str">
        <f>VLOOKUP(C12,'Project Status'!C:G,5,FALSE)</f>
        <v>Arts &amp; Science</v>
      </c>
      <c r="E12" t="str">
        <f>VLOOKUP(C12,'Project Status'!C:I,7,FALSE)</f>
        <v>Bryan Building - Swing Space Renovation - A&amp;S Planning</v>
      </c>
      <c r="F12" s="215">
        <f>VLOOKUP(C12,'Project Status'!C:L,10,FALSE)</f>
        <v>2790000</v>
      </c>
      <c r="G12" s="216">
        <f>VLOOKUP(C12,'Project Status'!C:R,16,FALSE)</f>
        <v>81100</v>
      </c>
      <c r="H12" s="217">
        <f>VLOOKUP(C12,'Project Status'!C:U,19,FALSE)</f>
        <v>1028900</v>
      </c>
    </row>
    <row r="13" spans="1:8" x14ac:dyDescent="0.4">
      <c r="A13" s="108">
        <f t="shared" si="0"/>
        <v>8</v>
      </c>
      <c r="B13" t="str">
        <f>VLOOKUP(C13,'Project Status'!C:J,8,FALSE)</f>
        <v>Not Started</v>
      </c>
      <c r="C13" s="60">
        <v>20489</v>
      </c>
      <c r="D13" s="26" t="str">
        <f>VLOOKUP(C13,'Project Status'!C:G,5,FALSE)</f>
        <v>Divinity</v>
      </c>
      <c r="E13" t="str">
        <f>VLOOKUP(C13,'Project Status'!C:I,7,FALSE)</f>
        <v>Divinity Air Handling Unit Replacement, (1/3) - Phase 2 with Benton</v>
      </c>
      <c r="F13" s="215">
        <f>VLOOKUP(C13,'Project Status'!C:L,10,FALSE)</f>
        <v>4650000</v>
      </c>
      <c r="G13" s="216">
        <f>VLOOKUP(C13,'Project Status'!C:R,16,FALSE)</f>
        <v>26500</v>
      </c>
      <c r="H13" s="217">
        <f>VLOOKUP(C13,'Project Status'!C:U,19,FALSE)</f>
        <v>0</v>
      </c>
    </row>
    <row r="14" spans="1:8" x14ac:dyDescent="0.4">
      <c r="A14" s="108">
        <f t="shared" si="0"/>
        <v>9</v>
      </c>
      <c r="B14" t="str">
        <f>VLOOKUP(C14,'Project Status'!C:J,8,FALSE)</f>
        <v>Finalized</v>
      </c>
      <c r="C14" s="60">
        <v>20497</v>
      </c>
      <c r="D14" s="26" t="str">
        <f>VLOOKUP(C14,'Project Status'!C:G,5,FALSE)</f>
        <v>Peabody</v>
      </c>
      <c r="E14" t="str">
        <f>VLOOKUP(C14,'Project Status'!C:I,7,FALSE)</f>
        <v>Jesup - Roof Replacement</v>
      </c>
      <c r="F14" s="215">
        <f>VLOOKUP(C14,'Project Status'!C:L,10,FALSE)</f>
        <v>456850</v>
      </c>
      <c r="G14" s="216">
        <f>VLOOKUP(C14,'Project Status'!C:R,16,FALSE)</f>
        <v>79415.5</v>
      </c>
      <c r="H14" s="217">
        <f>VLOOKUP(C14,'Project Status'!C:U,19,FALSE)</f>
        <v>-44850</v>
      </c>
    </row>
    <row r="15" spans="1:8" x14ac:dyDescent="0.4">
      <c r="A15" s="108">
        <f t="shared" si="0"/>
        <v>10</v>
      </c>
      <c r="B15" t="str">
        <f>VLOOKUP(C15,'Project Status'!C:J,8,FALSE)</f>
        <v>Finalized</v>
      </c>
      <c r="C15" s="60">
        <v>20506</v>
      </c>
      <c r="D15" s="26" t="str">
        <f>VLOOKUP(C15,'Project Status'!C:G,5,FALSE)</f>
        <v>Peabody</v>
      </c>
      <c r="E15" t="str">
        <f>VLOOKUP(C15,'Project Status'!C:I,7,FALSE)</f>
        <v>Wyatt Center - Window Replacement</v>
      </c>
      <c r="F15" s="215">
        <f>VLOOKUP(C15,'Project Status'!C:L,10,FALSE)</f>
        <v>344155.26</v>
      </c>
      <c r="G15" s="216">
        <f>VLOOKUP(C15,'Project Status'!C:R,16,FALSE)</f>
        <v>344155.26</v>
      </c>
      <c r="H15" s="217">
        <f>VLOOKUP(C15,'Project Status'!C:U,19,FALSE)</f>
        <v>-36379</v>
      </c>
    </row>
    <row r="16" spans="1:8" x14ac:dyDescent="0.4">
      <c r="A16" s="108">
        <f t="shared" si="0"/>
        <v>11</v>
      </c>
      <c r="B16" t="str">
        <f>VLOOKUP(C16,'Project Status'!C:J,8,FALSE)</f>
        <v>Warranty or Construction Closeout</v>
      </c>
      <c r="C16" s="60">
        <v>20562</v>
      </c>
      <c r="D16" s="26" t="str">
        <f>VLOOKUP(C16,'Project Status'!C:G,5,FALSE)</f>
        <v>Peabody</v>
      </c>
      <c r="E16" t="str">
        <f>VLOOKUP(C16,'Project Status'!C:I,7,FALSE)</f>
        <v>Wyatt Center - VAV Replacement</v>
      </c>
      <c r="F16" s="215">
        <f>VLOOKUP(C16,'Project Status'!C:L,10,FALSE)</f>
        <v>400000</v>
      </c>
      <c r="G16" s="216">
        <f>VLOOKUP(C16,'Project Status'!C:R,16,FALSE)</f>
        <v>405791</v>
      </c>
      <c r="H16" s="217">
        <f>VLOOKUP(C16,'Project Status'!C:U,19,FALSE)</f>
        <v>0</v>
      </c>
    </row>
    <row r="17" spans="1:8" x14ac:dyDescent="0.4">
      <c r="A17" s="108">
        <f t="shared" si="0"/>
        <v>12</v>
      </c>
      <c r="B17" t="str">
        <f>VLOOKUP(C17,'Project Status'!C:J,8,FALSE)</f>
        <v>Not Started</v>
      </c>
      <c r="C17" s="60">
        <v>20563</v>
      </c>
      <c r="D17" s="26" t="str">
        <f>VLOOKUP(C17,'Project Status'!C:G,5,FALSE)</f>
        <v>Engineering</v>
      </c>
      <c r="E17" t="str">
        <f>VLOOKUP(C17,'Project Status'!C:I,7,FALSE)</f>
        <v>Keck FEL - Roof Replacement</v>
      </c>
      <c r="F17" s="215">
        <f>VLOOKUP(C17,'Project Status'!C:L,10,FALSE)</f>
        <v>386000</v>
      </c>
      <c r="G17" s="216">
        <f>VLOOKUP(C17,'Project Status'!C:R,16,FALSE)</f>
        <v>0</v>
      </c>
      <c r="H17" s="217">
        <f>VLOOKUP(C17,'Project Status'!C:U,19,FALSE)</f>
        <v>0</v>
      </c>
    </row>
    <row r="18" spans="1:8" x14ac:dyDescent="0.4">
      <c r="A18" s="108">
        <f t="shared" si="0"/>
        <v>13</v>
      </c>
      <c r="B18" t="str">
        <f>VLOOKUP(C18,'Project Status'!C:J,8,FALSE)</f>
        <v>Financial Closeout</v>
      </c>
      <c r="C18" s="60">
        <v>20566</v>
      </c>
      <c r="D18" s="26" t="str">
        <f>VLOOKUP(C18,'Project Status'!C:G,5,FALSE)</f>
        <v>Arts &amp; Science</v>
      </c>
      <c r="E18" t="str">
        <f>VLOOKUP(C18,'Project Status'!C:I,7,FALSE)</f>
        <v>SC Chemistry (SC7) - Elevator 1 &amp; 2 Modernization</v>
      </c>
      <c r="F18" s="215">
        <f>VLOOKUP(C18,'Project Status'!C:L,10,FALSE)</f>
        <v>781870</v>
      </c>
      <c r="G18" s="216">
        <f>VLOOKUP(C18,'Project Status'!C:R,16,FALSE)</f>
        <v>781870</v>
      </c>
      <c r="H18" s="217">
        <f>VLOOKUP(C18,'Project Status'!C:U,19,FALSE)</f>
        <v>0</v>
      </c>
    </row>
    <row r="19" spans="1:8" x14ac:dyDescent="0.4">
      <c r="A19" s="108">
        <f t="shared" si="0"/>
        <v>14</v>
      </c>
      <c r="B19" t="str">
        <f>VLOOKUP(C19,'Project Status'!C:J,8,FALSE)</f>
        <v>Warranty or Construction Closeout</v>
      </c>
      <c r="C19" s="60">
        <v>20573</v>
      </c>
      <c r="D19" s="26" t="str">
        <f>VLOOKUP(C19,'Project Status'!C:G,5,FALSE)</f>
        <v>Peabody</v>
      </c>
      <c r="E19" t="str">
        <f>VLOOKUP(C19,'Project Status'!C:I,7,FALSE)</f>
        <v>Wyatt Center - Roof Replacement</v>
      </c>
      <c r="F19" s="215">
        <f>VLOOKUP(C19,'Project Status'!C:L,10,FALSE)</f>
        <v>1232681</v>
      </c>
      <c r="G19" s="216">
        <f>VLOOKUP(C19,'Project Status'!C:R,16,FALSE)</f>
        <v>1232681</v>
      </c>
      <c r="H19" s="217">
        <f>VLOOKUP(C19,'Project Status'!C:U,19,FALSE)</f>
        <v>0</v>
      </c>
    </row>
    <row r="20" spans="1:8" x14ac:dyDescent="0.4">
      <c r="A20" s="108">
        <f t="shared" si="0"/>
        <v>15</v>
      </c>
      <c r="B20" t="str">
        <f>VLOOKUP(C20,'Project Status'!C:J,8,FALSE)</f>
        <v>Warranty or Construction Closeout</v>
      </c>
      <c r="C20" s="60">
        <v>20574</v>
      </c>
      <c r="D20" s="26" t="str">
        <f>VLOOKUP(C20,'Project Status'!C:G,5,FALSE)</f>
        <v>SOM Basic Sciences</v>
      </c>
      <c r="E20" t="str">
        <f>VLOOKUP(C20,'Project Status'!C:I,7,FALSE)</f>
        <v>MRB III - Steam Coil Replacement</v>
      </c>
      <c r="F20" s="215">
        <f>VLOOKUP(C20,'Project Status'!C:L,10,FALSE)</f>
        <v>218202</v>
      </c>
      <c r="G20" s="216">
        <f>VLOOKUP(C20,'Project Status'!C:R,16,FALSE)</f>
        <v>218202</v>
      </c>
      <c r="H20" s="217">
        <f>VLOOKUP(C20,'Project Status'!C:U,19,FALSE)</f>
        <v>0</v>
      </c>
    </row>
    <row r="21" spans="1:8" x14ac:dyDescent="0.4">
      <c r="A21" s="108">
        <f t="shared" si="0"/>
        <v>16</v>
      </c>
      <c r="B21" t="str">
        <f>VLOOKUP(C21,'Project Status'!C:J,8,FALSE)</f>
        <v>Design</v>
      </c>
      <c r="C21" s="60">
        <v>20577</v>
      </c>
      <c r="D21" s="26" t="str">
        <f>VLOOKUP(C21,'Project Status'!C:G,5,FALSE)</f>
        <v>Blair</v>
      </c>
      <c r="E21" t="str">
        <f>VLOOKUP(C21,'Project Status'!C:I,7,FALSE)</f>
        <v>Blair School of Music - Air Handling Unit Replacement -Phase 1</v>
      </c>
      <c r="F21" s="215">
        <f>VLOOKUP(C21,'Project Status'!C:L,10,FALSE)</f>
        <v>1500000</v>
      </c>
      <c r="G21" s="216">
        <f>VLOOKUP(C21,'Project Status'!C:R,16,FALSE)</f>
        <v>223000</v>
      </c>
      <c r="H21" s="217">
        <f>VLOOKUP(C21,'Project Status'!C:U,19,FALSE)</f>
        <v>0</v>
      </c>
    </row>
    <row r="22" spans="1:8" x14ac:dyDescent="0.4">
      <c r="A22" s="108">
        <f t="shared" si="0"/>
        <v>17</v>
      </c>
      <c r="B22" t="str">
        <f>VLOOKUP(C22,'Project Status'!C:J,8,FALSE)</f>
        <v>Financial Closeout</v>
      </c>
      <c r="C22" s="60">
        <v>20644</v>
      </c>
      <c r="D22" s="26" t="str">
        <f>VLOOKUP(C22,'Project Status'!C:G,5,FALSE)</f>
        <v>Peabody</v>
      </c>
      <c r="E22" t="str">
        <f>VLOOKUP(C22,'Project Status'!C:I,7,FALSE)</f>
        <v>Peabody Administration - Envelope Repairs</v>
      </c>
      <c r="F22" s="215">
        <f>VLOOKUP(C22,'Project Status'!C:L,10,FALSE)</f>
        <v>630554</v>
      </c>
      <c r="G22" s="216">
        <f>VLOOKUP(C22,'Project Status'!C:R,16,FALSE)</f>
        <v>630554</v>
      </c>
      <c r="H22" s="217">
        <f>VLOOKUP(C22,'Project Status'!C:U,19,FALSE)</f>
        <v>0</v>
      </c>
    </row>
    <row r="23" spans="1:8" x14ac:dyDescent="0.4">
      <c r="A23" s="108">
        <f t="shared" si="0"/>
        <v>18</v>
      </c>
      <c r="B23" t="str">
        <f>VLOOKUP(C23,'Project Status'!C:J,8,FALSE)</f>
        <v>Warranty or Construction Closeout</v>
      </c>
      <c r="C23" s="60">
        <v>20645</v>
      </c>
      <c r="D23" s="26" t="str">
        <f>VLOOKUP(C23,'Project Status'!C:G,5,FALSE)</f>
        <v>Arts &amp; Science</v>
      </c>
      <c r="E23" t="str">
        <f>VLOOKUP(C23,'Project Status'!C:I,7,FALSE)</f>
        <v>Benson Old Central - Replace Soffit and Doors</v>
      </c>
      <c r="F23" s="215">
        <f>VLOOKUP(C23,'Project Status'!C:L,10,FALSE)</f>
        <v>125875</v>
      </c>
      <c r="G23" s="216">
        <f>VLOOKUP(C23,'Project Status'!C:R,16,FALSE)</f>
        <v>125875</v>
      </c>
      <c r="H23" s="217">
        <f>VLOOKUP(C23,'Project Status'!C:U,19,FALSE)</f>
        <v>0</v>
      </c>
    </row>
    <row r="24" spans="1:8" x14ac:dyDescent="0.4">
      <c r="A24" s="108">
        <f t="shared" si="0"/>
        <v>19</v>
      </c>
      <c r="B24" t="str">
        <f>VLOOKUP(C24,'Project Status'!C:J,8,FALSE)</f>
        <v>Design</v>
      </c>
      <c r="C24" s="60">
        <v>20667</v>
      </c>
      <c r="D24" s="26" t="str">
        <f>VLOOKUP(C24,'Project Status'!C:G,5,FALSE)</f>
        <v>Engineering</v>
      </c>
      <c r="E24" t="str">
        <f>VLOOKUP(C24,'Project Status'!C:I,7,FALSE)</f>
        <v>1025 16th Avenue - Mechanical and Electrical Upgrades</v>
      </c>
      <c r="F24" s="215">
        <f>VLOOKUP(C24,'Project Status'!C:L,10,FALSE)</f>
        <v>0</v>
      </c>
      <c r="G24" s="216">
        <f>VLOOKUP(C24,'Project Status'!C:R,16,FALSE)</f>
        <v>146500</v>
      </c>
      <c r="H24" s="217">
        <f>VLOOKUP(C24,'Project Status'!C:U,19,FALSE)</f>
        <v>2000000</v>
      </c>
    </row>
    <row r="25" spans="1:8" x14ac:dyDescent="0.4">
      <c r="A25" s="108">
        <f t="shared" si="0"/>
        <v>20</v>
      </c>
      <c r="B25" t="str">
        <f>VLOOKUP(C25,'Project Status'!C:J,8,FALSE)</f>
        <v>Design</v>
      </c>
      <c r="C25" s="60">
        <v>20668</v>
      </c>
      <c r="D25" s="26" t="str">
        <f>VLOOKUP(C25,'Project Status'!C:G,5,FALSE)</f>
        <v>Engineering</v>
      </c>
      <c r="E25" t="str">
        <f>VLOOKUP(C25,'Project Status'!C:I,7,FALSE)</f>
        <v>Keck FEL - Mechanical Upgrades</v>
      </c>
      <c r="F25" s="215">
        <f>VLOOKUP(C25,'Project Status'!C:L,10,FALSE)</f>
        <v>0</v>
      </c>
      <c r="G25" s="216">
        <f>VLOOKUP(C25,'Project Status'!C:R,16,FALSE)</f>
        <v>206500</v>
      </c>
      <c r="H25" s="217">
        <f>VLOOKUP(C25,'Project Status'!C:U,19,FALSE)</f>
        <v>24933</v>
      </c>
    </row>
    <row r="26" spans="1:8" x14ac:dyDescent="0.4">
      <c r="A26" s="108">
        <f t="shared" si="0"/>
        <v>21</v>
      </c>
      <c r="B26" t="str">
        <f>VLOOKUP(C26,'Project Status'!C:J,8,FALSE)</f>
        <v>Award</v>
      </c>
      <c r="C26" s="60">
        <v>20698</v>
      </c>
      <c r="D26" s="26" t="str">
        <f>VLOOKUP(C26,'Project Status'!C:G,5,FALSE)</f>
        <v>Arts &amp; Science</v>
      </c>
      <c r="E26" t="str">
        <f>VLOOKUP(C26,'Project Status'!C:I,7,FALSE)</f>
        <v>Wilson Hall - Fire Alarm Replacement</v>
      </c>
      <c r="F26" s="215">
        <f>VLOOKUP(C26,'Project Status'!C:L,10,FALSE)</f>
        <v>680000</v>
      </c>
      <c r="G26" s="216">
        <f>VLOOKUP(C26,'Project Status'!C:R,16,FALSE)</f>
        <v>29250</v>
      </c>
      <c r="H26" s="217">
        <f>VLOOKUP(C26,'Project Status'!C:U,19,FALSE)</f>
        <v>649263</v>
      </c>
    </row>
    <row r="27" spans="1:8" x14ac:dyDescent="0.4">
      <c r="A27" s="108">
        <f t="shared" si="0"/>
        <v>22</v>
      </c>
      <c r="B27" t="str">
        <f>VLOOKUP(C27,'Project Status'!C:J,8,FALSE)</f>
        <v>Financial Closeout</v>
      </c>
      <c r="C27" s="60">
        <v>20700</v>
      </c>
      <c r="D27" s="26" t="str">
        <f>VLOOKUP(C27,'Project Status'!C:G,5,FALSE)</f>
        <v>Arts &amp; Science</v>
      </c>
      <c r="E27" t="str">
        <f>VLOOKUP(C27,'Project Status'!C:I,7,FALSE)</f>
        <v>SC-7 Chemistry - SG-1 Removal and Connection to Central Plant Steam</v>
      </c>
      <c r="F27" s="215">
        <f>VLOOKUP(C27,'Project Status'!C:L,10,FALSE)</f>
        <v>80000</v>
      </c>
      <c r="G27" s="216">
        <f>VLOOKUP(C27,'Project Status'!C:R,16,FALSE)</f>
        <v>79623</v>
      </c>
      <c r="H27" s="217">
        <f>VLOOKUP(C27,'Project Status'!C:U,19,FALSE)</f>
        <v>5954</v>
      </c>
    </row>
    <row r="28" spans="1:8" x14ac:dyDescent="0.4">
      <c r="A28" s="108">
        <f t="shared" si="0"/>
        <v>23</v>
      </c>
      <c r="B28" t="str">
        <f>VLOOKUP(C28,'Project Status'!C:J,8,FALSE)</f>
        <v>Design</v>
      </c>
      <c r="C28" s="60">
        <v>20701</v>
      </c>
      <c r="D28" s="26" t="str">
        <f>VLOOKUP(C28,'Project Status'!C:G,5,FALSE)</f>
        <v>Arts &amp; Science</v>
      </c>
      <c r="E28" t="str">
        <f>VLOOKUP(C28,'Project Status'!C:I,7,FALSE)</f>
        <v>SC-5 - Chemical Discharge Replacement</v>
      </c>
      <c r="F28" s="215">
        <f>VLOOKUP(C28,'Project Status'!C:L,10,FALSE)</f>
        <v>500000</v>
      </c>
      <c r="G28" s="216">
        <f>VLOOKUP(C28,'Project Status'!C:R,16,FALSE)</f>
        <v>499093</v>
      </c>
      <c r="H28" s="217">
        <f>VLOOKUP(C28,'Project Status'!C:U,19,FALSE)</f>
        <v>0</v>
      </c>
    </row>
    <row r="29" spans="1:8" x14ac:dyDescent="0.4">
      <c r="A29" s="108">
        <f t="shared" si="0"/>
        <v>24</v>
      </c>
      <c r="B29" t="str">
        <f>VLOOKUP(C29,'Project Status'!C:J,8,FALSE)</f>
        <v>Financial Closeout</v>
      </c>
      <c r="C29" s="60">
        <v>20702</v>
      </c>
      <c r="D29" s="26" t="str">
        <f>VLOOKUP(C29,'Project Status'!C:G,5,FALSE)</f>
        <v>Peabody</v>
      </c>
      <c r="E29" t="str">
        <f>VLOOKUP(C29,'Project Status'!C:I,7,FALSE)</f>
        <v>Wyatt Center - Elevator #2 Modernization</v>
      </c>
      <c r="F29" s="215">
        <f>VLOOKUP(C29,'Project Status'!C:L,10,FALSE)</f>
        <v>225791</v>
      </c>
      <c r="G29" s="216">
        <f>VLOOKUP(C29,'Project Status'!C:R,16,FALSE)</f>
        <v>239341</v>
      </c>
      <c r="H29" s="217">
        <f>VLOOKUP(C29,'Project Status'!C:U,19,FALSE)</f>
        <v>0</v>
      </c>
    </row>
    <row r="30" spans="1:8" x14ac:dyDescent="0.4">
      <c r="A30" s="108">
        <f t="shared" si="0"/>
        <v>25</v>
      </c>
      <c r="B30" t="str">
        <f>VLOOKUP(C30,'Project Status'!C:J,8,FALSE)</f>
        <v>Warranty or Construction Closeout</v>
      </c>
      <c r="C30" s="60">
        <v>20718</v>
      </c>
      <c r="D30" s="26" t="str">
        <f>VLOOKUP(C30,'Project Status'!C:G,5,FALSE)</f>
        <v>Arts &amp; Science</v>
      </c>
      <c r="E30" t="str">
        <f>VLOOKUP(C30,'Project Status'!C:I,7,FALSE)</f>
        <v>Buttrick Hall - 3rd Floor Inequality Renovations</v>
      </c>
      <c r="F30" s="215">
        <f>VLOOKUP(C30,'Project Status'!C:L,10,FALSE)</f>
        <v>715000</v>
      </c>
      <c r="G30" s="216">
        <f>VLOOKUP(C30,'Project Status'!C:R,16,FALSE)</f>
        <v>96166</v>
      </c>
      <c r="H30" s="217">
        <f>VLOOKUP(C30,'Project Status'!C:U,19,FALSE)</f>
        <v>0</v>
      </c>
    </row>
    <row r="31" spans="1:8" x14ac:dyDescent="0.4">
      <c r="A31" s="108">
        <f t="shared" si="0"/>
        <v>26</v>
      </c>
      <c r="B31" t="str">
        <f>VLOOKUP(C31,'Project Status'!C:J,8,FALSE)</f>
        <v>Design</v>
      </c>
      <c r="C31" s="60">
        <v>20723</v>
      </c>
      <c r="D31" s="26" t="str">
        <f>VLOOKUP(C31,'Project Status'!C:G,5,FALSE)</f>
        <v>SOM Basic Sciences</v>
      </c>
      <c r="E31" t="str">
        <f>VLOOKUP(C31,'Project Status'!C:I,7,FALSE)</f>
        <v>MRB III - 9th Floor (with 4 ,5 &amp; 8) - Replace Controls (Phase 3)</v>
      </c>
      <c r="F31" s="215">
        <f>VLOOKUP(C31,'Project Status'!C:L,10,FALSE)</f>
        <v>1610000</v>
      </c>
      <c r="G31" s="216">
        <f>VLOOKUP(C31,'Project Status'!C:R,16,FALSE)</f>
        <v>160500</v>
      </c>
      <c r="H31" s="217">
        <f>VLOOKUP(C31,'Project Status'!C:U,19,FALSE)</f>
        <v>0</v>
      </c>
    </row>
    <row r="32" spans="1:8" x14ac:dyDescent="0.4">
      <c r="A32" s="108">
        <f t="shared" si="0"/>
        <v>27</v>
      </c>
      <c r="B32" t="str">
        <f>VLOOKUP(C32,'Project Status'!C:J,8,FALSE)</f>
        <v>Construction</v>
      </c>
      <c r="C32" s="60">
        <v>20724</v>
      </c>
      <c r="D32" s="26" t="str">
        <f>VLOOKUP(C32,'Project Status'!C:G,5,FALSE)</f>
        <v>Blair</v>
      </c>
      <c r="E32" t="str">
        <f>VLOOKUP(C32,'Project Status'!C:I,7,FALSE)</f>
        <v>Blair School of Music - Steam Line</v>
      </c>
      <c r="F32" s="215">
        <f>VLOOKUP(C32,'Project Status'!C:L,10,FALSE)</f>
        <v>1987500</v>
      </c>
      <c r="G32" s="216">
        <f>VLOOKUP(C32,'Project Status'!C:R,16,FALSE)</f>
        <v>23400</v>
      </c>
      <c r="H32" s="217">
        <f>VLOOKUP(C32,'Project Status'!C:U,19,FALSE)</f>
        <v>1964100</v>
      </c>
    </row>
    <row r="33" spans="1:8" x14ac:dyDescent="0.4">
      <c r="A33" s="108">
        <f t="shared" si="0"/>
        <v>28</v>
      </c>
      <c r="B33" t="str">
        <f>VLOOKUP(C33,'Project Status'!C:J,8,FALSE)</f>
        <v>Warranty or Construction Closeout</v>
      </c>
      <c r="C33" s="60">
        <v>20735</v>
      </c>
      <c r="D33" s="26" t="str">
        <f>VLOOKUP(C33,'Project Status'!C:G,5,FALSE)</f>
        <v>Owen</v>
      </c>
      <c r="E33" t="str">
        <f>VLOOKUP(C33,'Project Status'!C:I,7,FALSE)</f>
        <v>Owen - Roof Replacement (Third Level)</v>
      </c>
      <c r="F33" s="215">
        <f>VLOOKUP(C33,'Project Status'!C:L,10,FALSE)</f>
        <v>300000</v>
      </c>
      <c r="G33" s="216">
        <f>VLOOKUP(C33,'Project Status'!C:R,16,FALSE)</f>
        <v>300000</v>
      </c>
      <c r="H33" s="217">
        <f>VLOOKUP(C33,'Project Status'!C:U,19,FALSE)</f>
        <v>0</v>
      </c>
    </row>
    <row r="34" spans="1:8" x14ac:dyDescent="0.4">
      <c r="A34" s="108">
        <f t="shared" si="0"/>
        <v>29</v>
      </c>
      <c r="B34" t="str">
        <f>VLOOKUP(C34,'Project Status'!C:J,8,FALSE)</f>
        <v>Bidding</v>
      </c>
      <c r="C34" s="60">
        <v>20767</v>
      </c>
      <c r="D34" s="26" t="str">
        <f>VLOOKUP(C34,'Project Status'!C:G,5,FALSE)</f>
        <v>Peabody</v>
      </c>
      <c r="E34" t="str">
        <f>VLOOKUP(C34,'Project Status'!C:I,7,FALSE)</f>
        <v>Six Magnolia Circle - Foundation Repairs</v>
      </c>
      <c r="F34" s="215">
        <f>VLOOKUP(C34,'Project Status'!C:L,10,FALSE)</f>
        <v>81000</v>
      </c>
      <c r="G34" s="216">
        <f>VLOOKUP(C34,'Project Status'!C:R,16,FALSE)</f>
        <v>0</v>
      </c>
      <c r="H34" s="217">
        <f>VLOOKUP(C34,'Project Status'!C:U,19,FALSE)</f>
        <v>81000</v>
      </c>
    </row>
    <row r="35" spans="1:8" x14ac:dyDescent="0.4">
      <c r="A35" s="108">
        <f t="shared" si="0"/>
        <v>30</v>
      </c>
      <c r="B35" t="str">
        <f>VLOOKUP(C35,'Project Status'!C:J,8,FALSE)</f>
        <v>Finalized</v>
      </c>
      <c r="C35" s="60">
        <v>20771</v>
      </c>
      <c r="D35" s="26" t="str">
        <f>VLOOKUP(C35,'Project Status'!C:G,5,FALSE)</f>
        <v>Arts &amp; Science</v>
      </c>
      <c r="E35" t="str">
        <f>VLOOKUP(C35,'Project Status'!C:I,7,FALSE)</f>
        <v>SC4 - Interstitial Space HVAC Modifications</v>
      </c>
      <c r="F35" s="215">
        <f>VLOOKUP(C35,'Project Status'!C:L,10,FALSE)</f>
        <v>25000</v>
      </c>
      <c r="G35" s="216">
        <f>VLOOKUP(C35,'Project Status'!C:R,16,FALSE)</f>
        <v>24997</v>
      </c>
      <c r="H35" s="217">
        <f>VLOOKUP(C35,'Project Status'!C:U,19,FALSE)</f>
        <v>-7025</v>
      </c>
    </row>
    <row r="36" spans="1:8" x14ac:dyDescent="0.4">
      <c r="A36" s="108">
        <f t="shared" si="0"/>
        <v>31</v>
      </c>
      <c r="B36" t="str">
        <f>VLOOKUP(C36,'Project Status'!C:J,8,FALSE)</f>
        <v>Award</v>
      </c>
      <c r="C36" s="60">
        <v>20772</v>
      </c>
      <c r="D36" s="26" t="str">
        <f>VLOOKUP(C36,'Project Status'!C:G,5,FALSE)</f>
        <v>Owen</v>
      </c>
      <c r="E36" t="str">
        <f>VLOOKUP(C36,'Project Status'!C:I,7,FALSE)</f>
        <v>OGSM Old Mechanical- Slate Roof &amp; Window Replacement</v>
      </c>
      <c r="F36" s="215">
        <f>VLOOKUP(C36,'Project Status'!C:L,10,FALSE)</f>
        <v>0</v>
      </c>
      <c r="G36" s="216">
        <f>VLOOKUP(C36,'Project Status'!C:R,16,FALSE)</f>
        <v>0</v>
      </c>
      <c r="H36" s="217">
        <f>VLOOKUP(C36,'Project Status'!C:U,19,FALSE)</f>
        <v>0</v>
      </c>
    </row>
    <row r="37" spans="1:8" x14ac:dyDescent="0.4">
      <c r="A37" s="108">
        <f t="shared" si="0"/>
        <v>32</v>
      </c>
      <c r="B37" t="str">
        <f>VLOOKUP(C37,'Project Status'!C:J,8,FALSE)</f>
        <v>Financial Closeout</v>
      </c>
      <c r="C37" s="60">
        <v>20792</v>
      </c>
      <c r="D37" s="26" t="str">
        <f>VLOOKUP(C37,'Project Status'!C:G,5,FALSE)</f>
        <v>Law</v>
      </c>
      <c r="E37" t="str">
        <f>VLOOKUP(C37,'Project Status'!C:I,7,FALSE)</f>
        <v>Law School - Sections 1, 2, &amp; 3  Roof Replacement</v>
      </c>
      <c r="F37" s="215">
        <f>VLOOKUP(C37,'Project Status'!C:L,10,FALSE)</f>
        <v>400000</v>
      </c>
      <c r="G37" s="216">
        <f>VLOOKUP(C37,'Project Status'!C:R,16,FALSE)</f>
        <v>483440</v>
      </c>
      <c r="H37" s="217">
        <f>VLOOKUP(C37,'Project Status'!C:U,19,FALSE)</f>
        <v>0</v>
      </c>
    </row>
    <row r="38" spans="1:8" x14ac:dyDescent="0.4">
      <c r="A38" s="108">
        <f t="shared" si="0"/>
        <v>33</v>
      </c>
      <c r="B38" t="str">
        <f>VLOOKUP(C38,'Project Status'!C:J,8,FALSE)</f>
        <v>Design</v>
      </c>
      <c r="C38" s="60">
        <v>20831</v>
      </c>
      <c r="D38" s="26" t="str">
        <f>VLOOKUP(C38,'Project Status'!C:G,5,FALSE)</f>
        <v>Arts &amp; Science</v>
      </c>
      <c r="E38" t="str">
        <f>VLOOKUP(C38,'Project Status'!C:I,7,FALSE)</f>
        <v>SC6 - HVAC Upgrades - Feasibility Study</v>
      </c>
      <c r="F38" s="215">
        <f>VLOOKUP(C38,'Project Status'!C:L,10,FALSE)</f>
        <v>24000</v>
      </c>
      <c r="G38" s="216">
        <f>VLOOKUP(C38,'Project Status'!C:R,16,FALSE)</f>
        <v>0</v>
      </c>
      <c r="H38" s="217">
        <f>VLOOKUP(C38,'Project Status'!C:U,19,FALSE)</f>
        <v>24000</v>
      </c>
    </row>
    <row r="39" spans="1:8" x14ac:dyDescent="0.4">
      <c r="A39" s="108">
        <f t="shared" si="0"/>
        <v>34</v>
      </c>
      <c r="B39" t="str">
        <f>VLOOKUP(C39,'Project Status'!C:J,8,FALSE)</f>
        <v>Financial Closeout</v>
      </c>
      <c r="C39" s="60">
        <v>20832</v>
      </c>
      <c r="D39" s="26" t="str">
        <f>VLOOKUP(C39,'Project Status'!C:G,5,FALSE)</f>
        <v>Arts &amp; Science</v>
      </c>
      <c r="E39" t="str">
        <f>VLOOKUP(C39,'Project Status'!C:I,7,FALSE)</f>
        <v>Wilson Hall - HVAC Replacement</v>
      </c>
      <c r="F39" s="215">
        <f>VLOOKUP(C39,'Project Status'!C:L,10,FALSE)</f>
        <v>24000</v>
      </c>
      <c r="G39" s="216">
        <f>VLOOKUP(C39,'Project Status'!C:R,16,FALSE)</f>
        <v>0</v>
      </c>
      <c r="H39" s="217">
        <f>VLOOKUP(C39,'Project Status'!C:U,19,FALSE)</f>
        <v>24000</v>
      </c>
    </row>
    <row r="40" spans="1:8" x14ac:dyDescent="0.4">
      <c r="A40" s="108">
        <f t="shared" si="0"/>
        <v>35</v>
      </c>
      <c r="B40" t="str">
        <f>VLOOKUP(C40,'Project Status'!C:J,8,FALSE)</f>
        <v>Design</v>
      </c>
      <c r="C40" s="60">
        <v>20833</v>
      </c>
      <c r="D40" s="26" t="str">
        <f>VLOOKUP(C40,'Project Status'!C:G,5,FALSE)</f>
        <v>Arts &amp; Science</v>
      </c>
      <c r="E40" t="str">
        <f>VLOOKUP(C40,'Project Status'!C:I,7,FALSE)</f>
        <v>SC5 - HVAC Replacement</v>
      </c>
      <c r="F40" s="215">
        <f>VLOOKUP(C40,'Project Status'!C:L,10,FALSE)</f>
        <v>24000</v>
      </c>
      <c r="G40" s="216">
        <f>VLOOKUP(C40,'Project Status'!C:R,16,FALSE)</f>
        <v>0</v>
      </c>
      <c r="H40" s="217">
        <f>VLOOKUP(C40,'Project Status'!C:U,19,FALSE)</f>
        <v>24000</v>
      </c>
    </row>
    <row r="41" spans="1:8" x14ac:dyDescent="0.4">
      <c r="A41" s="108">
        <f t="shared" si="0"/>
        <v>36</v>
      </c>
      <c r="B41" t="str">
        <f>VLOOKUP(C41,'Project Status'!C:J,8,FALSE)</f>
        <v>Finalized</v>
      </c>
      <c r="C41" s="60">
        <v>20834</v>
      </c>
      <c r="D41" s="26" t="str">
        <f>VLOOKUP(C41,'Project Status'!C:G,5,FALSE)</f>
        <v>Peabody</v>
      </c>
      <c r="E41" t="str">
        <f>VLOOKUP(C41,'Project Status'!C:I,7,FALSE)</f>
        <v>Wyatt Center - HVAC Upgrades - Engineering Study</v>
      </c>
      <c r="F41" s="215">
        <f>VLOOKUP(C41,'Project Status'!C:L,10,FALSE)</f>
        <v>5000</v>
      </c>
      <c r="G41" s="216">
        <f>VLOOKUP(C41,'Project Status'!C:R,16,FALSE)</f>
        <v>0</v>
      </c>
      <c r="H41" s="217">
        <f>VLOOKUP(C41,'Project Status'!C:U,19,FALSE)</f>
        <v>0</v>
      </c>
    </row>
    <row r="42" spans="1:8" x14ac:dyDescent="0.4">
      <c r="A42" s="108">
        <f t="shared" si="0"/>
        <v>37</v>
      </c>
      <c r="B42" t="str">
        <f>VLOOKUP(C42,'Project Status'!C:J,8,FALSE)</f>
        <v>Design</v>
      </c>
      <c r="C42" s="60">
        <v>20838</v>
      </c>
      <c r="D42" s="26" t="str">
        <f>VLOOKUP(C42,'Project Status'!C:G,5,FALSE)</f>
        <v>Other</v>
      </c>
      <c r="E42" t="str">
        <f>VLOOKUP(C42,'Project Status'!C:I,7,FALSE)</f>
        <v>Seigenthaler Building Conversion</v>
      </c>
      <c r="F42" s="215">
        <f>VLOOKUP(C42,'Project Status'!C:L,10,FALSE)</f>
        <v>0</v>
      </c>
      <c r="G42" s="216">
        <f>VLOOKUP(C42,'Project Status'!C:R,16,FALSE)</f>
        <v>0</v>
      </c>
      <c r="H42" s="217">
        <f>VLOOKUP(C42,'Project Status'!C:U,19,FALSE)</f>
        <v>0</v>
      </c>
    </row>
    <row r="43" spans="1:8" x14ac:dyDescent="0.4">
      <c r="A43" s="108">
        <f t="shared" si="0"/>
        <v>38</v>
      </c>
      <c r="B43" t="str">
        <f>VLOOKUP(C43,'Project Status'!C:J,8,FALSE)</f>
        <v>Bidding</v>
      </c>
      <c r="C43" s="60">
        <v>20857</v>
      </c>
      <c r="D43" s="26" t="str">
        <f>VLOOKUP(C43,'Project Status'!C:G,5,FALSE)</f>
        <v>Peabody</v>
      </c>
      <c r="E43" t="str">
        <f>VLOOKUP(C43,'Project Status'!C:I,7,FALSE)</f>
        <v>One Magnolia Circle - Elevator Modernization</v>
      </c>
      <c r="F43" s="215">
        <f>VLOOKUP(C43,'Project Status'!C:L,10,FALSE)</f>
        <v>0</v>
      </c>
      <c r="G43" s="216">
        <f>VLOOKUP(C43,'Project Status'!C:R,16,FALSE)</f>
        <v>0</v>
      </c>
      <c r="H43" s="217">
        <f>VLOOKUP(C43,'Project Status'!C:U,19,FALSE)</f>
        <v>21600</v>
      </c>
    </row>
    <row r="44" spans="1:8" x14ac:dyDescent="0.4">
      <c r="A44" s="108">
        <f t="shared" si="0"/>
        <v>39</v>
      </c>
      <c r="B44" t="str">
        <f>VLOOKUP(C44,'Project Status'!C:J,8,FALSE)</f>
        <v>Bidding</v>
      </c>
      <c r="C44" s="60">
        <v>20885</v>
      </c>
      <c r="D44" s="26" t="str">
        <f>VLOOKUP(C44,'Project Status'!C:G,5,FALSE)</f>
        <v>SOM Basic Sciences</v>
      </c>
      <c r="E44" t="str">
        <f>VLOOKUP(C44,'Project Status'!C:I,7,FALSE)</f>
        <v>NMR - Replace Air Compressors</v>
      </c>
      <c r="F44" s="215">
        <f>VLOOKUP(C44,'Project Status'!C:L,10,FALSE)</f>
        <v>98341</v>
      </c>
      <c r="G44" s="216">
        <f>VLOOKUP(C44,'Project Status'!C:R,16,FALSE)</f>
        <v>0</v>
      </c>
      <c r="H44" s="217">
        <f>VLOOKUP(C44,'Project Status'!C:U,19,FALSE)</f>
        <v>98341</v>
      </c>
    </row>
    <row r="45" spans="1:8" x14ac:dyDescent="0.4">
      <c r="A45" s="108">
        <f t="shared" si="0"/>
        <v>40</v>
      </c>
      <c r="B45" t="str">
        <f>VLOOKUP(C45,'Project Status'!C:J,8,FALSE)</f>
        <v>Design</v>
      </c>
      <c r="C45" s="60">
        <v>20911</v>
      </c>
      <c r="D45" s="26" t="str">
        <f>VLOOKUP(C45,'Project Status'!C:G,5,FALSE)</f>
        <v>Arts &amp; Science</v>
      </c>
      <c r="E45" t="str">
        <f>VLOOKUP(C45,'Project Status'!C:I,7,FALSE)</f>
        <v>Buttrick Hall - Elevator Upgrades</v>
      </c>
      <c r="F45" s="215">
        <f>VLOOKUP(C45,'Project Status'!C:L,10,FALSE)</f>
        <v>75000</v>
      </c>
      <c r="G45" s="216">
        <f>VLOOKUP(C45,'Project Status'!C:R,16,FALSE)</f>
        <v>0</v>
      </c>
      <c r="H45" s="217">
        <f>VLOOKUP(C45,'Project Status'!C:U,19,FALSE)</f>
        <v>75000</v>
      </c>
    </row>
    <row r="46" spans="1:8" x14ac:dyDescent="0.4">
      <c r="A46" s="108">
        <f t="shared" si="0"/>
        <v>41</v>
      </c>
      <c r="B46" t="str">
        <f>VLOOKUP(C46,'Project Status'!C:J,8,FALSE)</f>
        <v>Design</v>
      </c>
      <c r="C46" s="60">
        <v>20912</v>
      </c>
      <c r="D46" s="26" t="str">
        <f>VLOOKUP(C46,'Project Status'!C:G,5,FALSE)</f>
        <v>Arts &amp; Science</v>
      </c>
      <c r="E46" t="str">
        <f>VLOOKUP(C46,'Project Status'!C:I,7,FALSE)</f>
        <v>Benson Hall - Elevator Upgrades</v>
      </c>
      <c r="F46" s="215">
        <f>VLOOKUP(C46,'Project Status'!C:L,10,FALSE)</f>
        <v>75000</v>
      </c>
      <c r="G46" s="216">
        <f>VLOOKUP(C46,'Project Status'!C:R,16,FALSE)</f>
        <v>0</v>
      </c>
      <c r="H46" s="217">
        <f>VLOOKUP(C46,'Project Status'!C:U,19,FALSE)</f>
        <v>75000</v>
      </c>
    </row>
    <row r="47" spans="1:8" x14ac:dyDescent="0.4">
      <c r="A47" s="108">
        <f t="shared" si="0"/>
        <v>42</v>
      </c>
      <c r="B47" t="str">
        <f>VLOOKUP(C47,'Project Status'!C:J,8,FALSE)</f>
        <v>Design</v>
      </c>
      <c r="C47" s="60">
        <v>20913</v>
      </c>
      <c r="D47" s="26" t="str">
        <f>VLOOKUP(C47,'Project Status'!C:G,5,FALSE)</f>
        <v>Arts &amp; Science</v>
      </c>
      <c r="E47" t="str">
        <f>VLOOKUP(C47,'Project Status'!C:I,7,FALSE)</f>
        <v>Wilson Hall - Elevator Upgrades</v>
      </c>
      <c r="F47" s="215">
        <f>VLOOKUP(C47,'Project Status'!C:L,10,FALSE)</f>
        <v>75000</v>
      </c>
      <c r="G47" s="216">
        <f>VLOOKUP(C47,'Project Status'!C:R,16,FALSE)</f>
        <v>0</v>
      </c>
      <c r="H47" s="217">
        <f>VLOOKUP(C47,'Project Status'!C:U,19,FALSE)</f>
        <v>75000</v>
      </c>
    </row>
    <row r="48" spans="1:8" x14ac:dyDescent="0.4">
      <c r="A48" s="108">
        <f t="shared" si="0"/>
        <v>43</v>
      </c>
      <c r="B48" t="str">
        <f>VLOOKUP(C48,'Project Status'!C:J,8,FALSE)</f>
        <v>Planning</v>
      </c>
      <c r="C48" s="60" t="s">
        <v>384</v>
      </c>
      <c r="D48" s="26" t="str">
        <f>VLOOKUP(C48,'Project Status'!C:G,5,FALSE)</f>
        <v>Law</v>
      </c>
      <c r="E48" t="str">
        <f>VLOOKUP(C48,'Project Status'!C:I,7,FALSE)</f>
        <v>Law School - Exterior Window Painting</v>
      </c>
      <c r="F48" s="215">
        <f>VLOOKUP(C48,'Project Status'!C:L,10,FALSE)</f>
        <v>0</v>
      </c>
      <c r="G48" s="216">
        <f>VLOOKUP(C48,'Project Status'!C:R,16,FALSE)</f>
        <v>0</v>
      </c>
      <c r="H48" s="217">
        <f>VLOOKUP(C48,'Project Status'!C:U,19,FALSE)</f>
        <v>420000</v>
      </c>
    </row>
    <row r="49" spans="6:8" s="20" customFormat="1" x14ac:dyDescent="0.4">
      <c r="F49" s="81">
        <f>SUM(F6:F48)</f>
        <v>27328083.759999998</v>
      </c>
      <c r="G49" s="82">
        <f t="shared" ref="G49:H49" si="1">SUM(G6:G48)</f>
        <v>8797286.2599999998</v>
      </c>
      <c r="H49" s="128">
        <f t="shared" si="1"/>
        <v>10414753.039999999</v>
      </c>
    </row>
    <row r="50" spans="6:8" s="20" customFormat="1" x14ac:dyDescent="0.4">
      <c r="F50" s="75"/>
      <c r="G50" s="75"/>
      <c r="H50" s="75"/>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Award</v>
      </c>
      <c r="G4" s="11" t="str">
        <f>VLOOKUP(A4,'Project Status'!C:K,9,FALSE)</f>
        <v>Sean Rewers</v>
      </c>
      <c r="H4" s="99">
        <f>VLOOKUP(A4,'Project Status'!C:M,11,FALSE)</f>
        <v>678513</v>
      </c>
    </row>
    <row r="8" spans="1:11" x14ac:dyDescent="0.4">
      <c r="E8" s="42" t="s">
        <v>124</v>
      </c>
    </row>
    <row r="9" spans="1:11" x14ac:dyDescent="0.4">
      <c r="E9" s="22" t="s">
        <v>215</v>
      </c>
      <c r="F9" s="34" t="s">
        <v>139</v>
      </c>
      <c r="H9" s="43">
        <v>24500</v>
      </c>
    </row>
    <row r="10" spans="1:11" x14ac:dyDescent="0.4">
      <c r="E10" s="22" t="s">
        <v>215</v>
      </c>
      <c r="F10" t="s">
        <v>214</v>
      </c>
      <c r="H10" s="43">
        <v>450</v>
      </c>
    </row>
    <row r="11" spans="1:11" x14ac:dyDescent="0.4">
      <c r="E11" s="22" t="s">
        <v>285</v>
      </c>
      <c r="F11" t="s">
        <v>146</v>
      </c>
      <c r="H11" s="43">
        <v>4300</v>
      </c>
    </row>
    <row r="12" spans="1:11" x14ac:dyDescent="0.4">
      <c r="E12" s="22" t="s">
        <v>386</v>
      </c>
      <c r="F12" t="s">
        <v>341</v>
      </c>
      <c r="G12" t="s">
        <v>385</v>
      </c>
      <c r="H12" s="43">
        <v>649263</v>
      </c>
    </row>
    <row r="18" spans="5:8" x14ac:dyDescent="0.4">
      <c r="E18" s="161" t="s">
        <v>271</v>
      </c>
      <c r="F18" s="162"/>
      <c r="G18" s="161"/>
      <c r="H18" s="163">
        <f>SUM(H9:H17)</f>
        <v>678513</v>
      </c>
    </row>
    <row r="20" spans="5:8" x14ac:dyDescent="0.4">
      <c r="E20" s="164" t="s">
        <v>136</v>
      </c>
      <c r="F20" s="164"/>
      <c r="G20" s="164"/>
      <c r="H20" s="165">
        <f>H4-H18</f>
        <v>0</v>
      </c>
    </row>
  </sheetData>
  <hyperlinks>
    <hyperlink ref="K1" location="'Project Status'!A1" display="'Project Status'!A1" xr:uid="{E7834D54-DAF7-45D2-9A68-536A70719D85}"/>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7.53515625" bestFit="1" customWidth="1"/>
    <col min="7" max="7" width="12.3046875" bestFit="1" customWidth="1"/>
    <col min="8" max="8" width="16.53515625" bestFit="1" customWidth="1"/>
    <col min="9" max="9" width="12.152343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Financial Closeout</v>
      </c>
      <c r="G4" s="11" t="str">
        <f>VLOOKUP(A4,'Project Status'!C:K,9,FALSE)</f>
        <v>Sean Rewers</v>
      </c>
      <c r="H4" s="99">
        <f>VLOOKUP(A4,'Project Status'!C:M,11,FALSE)</f>
        <v>85577</v>
      </c>
      <c r="I4" s="202">
        <f>VLOOKUP(B4,'Project Status'!D:N,11,FALSE)</f>
        <v>85576.77</v>
      </c>
    </row>
    <row r="8" spans="1:11" x14ac:dyDescent="0.4">
      <c r="E8" s="42" t="s">
        <v>124</v>
      </c>
    </row>
    <row r="9" spans="1:11" x14ac:dyDescent="0.4">
      <c r="E9" s="22" t="s">
        <v>226</v>
      </c>
      <c r="F9" s="34" t="s">
        <v>139</v>
      </c>
      <c r="H9" s="110">
        <v>2500</v>
      </c>
    </row>
    <row r="10" spans="1:11" x14ac:dyDescent="0.4">
      <c r="E10" s="22" t="s">
        <v>254</v>
      </c>
      <c r="F10" t="s">
        <v>139</v>
      </c>
      <c r="H10" s="43">
        <v>77123</v>
      </c>
    </row>
    <row r="11" spans="1:11" x14ac:dyDescent="0.4">
      <c r="E11" s="22" t="s">
        <v>342</v>
      </c>
      <c r="F11" t="s">
        <v>174</v>
      </c>
      <c r="H11" s="43">
        <v>5954</v>
      </c>
    </row>
    <row r="18" spans="5:8" x14ac:dyDescent="0.4">
      <c r="E18" s="161" t="s">
        <v>271</v>
      </c>
      <c r="F18" s="162"/>
      <c r="G18" s="161"/>
      <c r="H18" s="163">
        <f>SUM(H9:H17)</f>
        <v>85577</v>
      </c>
    </row>
    <row r="20" spans="5:8" x14ac:dyDescent="0.4">
      <c r="E20" s="164" t="s">
        <v>136</v>
      </c>
      <c r="F20" s="164"/>
      <c r="G20" s="164"/>
      <c r="H20" s="165">
        <f>H4-H18</f>
        <v>0</v>
      </c>
    </row>
  </sheetData>
  <hyperlinks>
    <hyperlink ref="K1" location="'Project Status'!A1" display="'Project Status'!A1" xr:uid="{5C3C34A0-1189-4174-89EA-A505915DF0CB}"/>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U5" sqref="U5"/>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Design</v>
      </c>
      <c r="G4" s="11" t="str">
        <f>VLOOKUP(A4,'Project Status'!C:K,9,FALSE)</f>
        <v>Sean Rewers</v>
      </c>
      <c r="H4" s="99">
        <f>VLOOKUP(A4,'Project Status'!C:M,11,FALSE)</f>
        <v>499093</v>
      </c>
    </row>
    <row r="8" spans="1:11" x14ac:dyDescent="0.4">
      <c r="E8" s="42" t="s">
        <v>124</v>
      </c>
    </row>
    <row r="9" spans="1:11" x14ac:dyDescent="0.4">
      <c r="E9" s="22" t="s">
        <v>272</v>
      </c>
      <c r="F9" s="34" t="s">
        <v>139</v>
      </c>
      <c r="H9" s="110">
        <v>499093</v>
      </c>
    </row>
    <row r="10" spans="1:11" x14ac:dyDescent="0.4">
      <c r="E10" s="22"/>
      <c r="H10" s="43"/>
    </row>
    <row r="18" spans="5:8" x14ac:dyDescent="0.4">
      <c r="E18" s="161" t="s">
        <v>271</v>
      </c>
      <c r="F18" s="162"/>
      <c r="G18" s="161"/>
      <c r="H18" s="163">
        <f>SUM(H9:H17)</f>
        <v>499093</v>
      </c>
    </row>
    <row r="20" spans="5:8" x14ac:dyDescent="0.4">
      <c r="E20" s="164" t="s">
        <v>136</v>
      </c>
      <c r="F20" s="164"/>
      <c r="G20" s="164"/>
      <c r="H20" s="165">
        <f>H4-H18</f>
        <v>0</v>
      </c>
    </row>
  </sheetData>
  <hyperlinks>
    <hyperlink ref="K1" location="'Project Status'!A1" display="'Project Status'!A1" xr:uid="{9E262A90-B31F-4C48-BD8B-B68FC8054AFA}"/>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8"/>
  </sheetPr>
  <dimension ref="A1:K20"/>
  <sheetViews>
    <sheetView zoomScale="90" zoomScaleNormal="90" workbookViewId="0">
      <selection activeCell="H20" sqref="H20"/>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30.53515625" bestFit="1" customWidth="1"/>
    <col min="7" max="7" width="11.30468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Financial Closeout</v>
      </c>
      <c r="G4" s="11" t="str">
        <f>VLOOKUP(A4,'Project Status'!C:K,9,FALSE)</f>
        <v>Ben Bedock</v>
      </c>
      <c r="H4" s="99">
        <f>VLOOKUP(A4,'Project Status'!C:M,11,FALSE)</f>
        <v>239341</v>
      </c>
      <c r="I4" s="202">
        <f>VLOOKUP(B4,'Project Status'!D:N,11,FALSE)</f>
        <v>209419</v>
      </c>
    </row>
    <row r="8" spans="1:11" x14ac:dyDescent="0.4">
      <c r="E8" s="42" t="s">
        <v>124</v>
      </c>
    </row>
    <row r="9" spans="1:11" x14ac:dyDescent="0.4">
      <c r="E9" s="22" t="s">
        <v>215</v>
      </c>
      <c r="F9" s="34" t="s">
        <v>139</v>
      </c>
      <c r="H9" s="43">
        <v>13550</v>
      </c>
    </row>
    <row r="10" spans="1:11" x14ac:dyDescent="0.4">
      <c r="E10" s="22" t="s">
        <v>233</v>
      </c>
      <c r="F10" t="s">
        <v>214</v>
      </c>
      <c r="H10" s="43">
        <v>225791</v>
      </c>
    </row>
    <row r="18" spans="5:8" x14ac:dyDescent="0.4">
      <c r="E18" s="161" t="s">
        <v>271</v>
      </c>
      <c r="F18" s="162"/>
      <c r="G18" s="161"/>
      <c r="H18" s="163">
        <f>SUM(H9:H17)</f>
        <v>239341</v>
      </c>
    </row>
    <row r="20" spans="5:8" x14ac:dyDescent="0.4">
      <c r="E20" s="164" t="s">
        <v>136</v>
      </c>
      <c r="F20" s="164"/>
      <c r="G20" s="164"/>
      <c r="H20" s="165">
        <f>H4-H18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8"/>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30.53515625" bestFit="1" customWidth="1"/>
    <col min="7" max="7" width="8.84375" bestFit="1" customWidth="1"/>
    <col min="8" max="8" width="16.53515625" bestFit="1" customWidth="1"/>
    <col min="9" max="9" width="13.304687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Warranty or Construction Closeout</v>
      </c>
      <c r="G4" s="11" t="str">
        <f>VLOOKUP(A4,'Project Status'!C:K,9,FALSE)</f>
        <v>Erin Fry</v>
      </c>
      <c r="H4" s="99">
        <f>VLOOKUP(A4,'Project Status'!C:M,11,FALSE)</f>
        <v>715000</v>
      </c>
      <c r="I4" s="202">
        <f>VLOOKUP(B4,'Project Status'!D:N,11,FALSE)</f>
        <v>651554.6</v>
      </c>
    </row>
    <row r="8" spans="1:11" x14ac:dyDescent="0.4">
      <c r="E8" s="42" t="s">
        <v>124</v>
      </c>
    </row>
    <row r="9" spans="1:11" x14ac:dyDescent="0.4">
      <c r="E9" s="22" t="s">
        <v>285</v>
      </c>
      <c r="F9" s="34" t="s">
        <v>284</v>
      </c>
      <c r="H9" s="43">
        <v>96166</v>
      </c>
    </row>
    <row r="10" spans="1:11" x14ac:dyDescent="0.4">
      <c r="E10" s="22"/>
      <c r="F10" s="20" t="s">
        <v>287</v>
      </c>
      <c r="H10" s="43"/>
    </row>
    <row r="11" spans="1:11" x14ac:dyDescent="0.4">
      <c r="E11" s="33" t="s">
        <v>289</v>
      </c>
      <c r="H11" s="109">
        <f>715000-96166</f>
        <v>618834</v>
      </c>
    </row>
    <row r="13" spans="1:11" x14ac:dyDescent="0.4">
      <c r="H13" s="45">
        <f>SUM(H9:H11)</f>
        <v>715000</v>
      </c>
    </row>
    <row r="18" spans="5:8" x14ac:dyDescent="0.4">
      <c r="E18" s="161" t="s">
        <v>271</v>
      </c>
      <c r="F18" s="162"/>
      <c r="G18" s="161"/>
      <c r="H18" s="163">
        <f>H9</f>
        <v>96166</v>
      </c>
    </row>
    <row r="20" spans="5:8" x14ac:dyDescent="0.4">
      <c r="E20" s="164" t="s">
        <v>136</v>
      </c>
      <c r="F20" s="164"/>
      <c r="G20" s="164"/>
      <c r="H20" s="165">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56.15234375" bestFit="1" customWidth="1"/>
    <col min="6" max="6" width="7" bestFit="1" customWidth="1"/>
    <col min="7" max="7" width="13.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Design</v>
      </c>
      <c r="G4" s="11" t="str">
        <f>VLOOKUP(A4,'Project Status'!C:K,9,FALSE)</f>
        <v>Andy Maddox</v>
      </c>
      <c r="H4" s="99">
        <f>VLOOKUP(A4,'Project Status'!C:M,11,FALSE)</f>
        <v>160500</v>
      </c>
    </row>
    <row r="8" spans="1:11" x14ac:dyDescent="0.4">
      <c r="E8" s="42" t="s">
        <v>124</v>
      </c>
    </row>
    <row r="9" spans="1:11" x14ac:dyDescent="0.4">
      <c r="E9" s="22" t="s">
        <v>254</v>
      </c>
      <c r="F9" s="34"/>
      <c r="H9" s="43">
        <v>24500</v>
      </c>
    </row>
    <row r="10" spans="1:11" x14ac:dyDescent="0.4">
      <c r="E10" s="22" t="s">
        <v>272</v>
      </c>
      <c r="H10" s="43">
        <v>136000</v>
      </c>
    </row>
    <row r="18" spans="5:8" x14ac:dyDescent="0.4">
      <c r="E18" s="161" t="s">
        <v>271</v>
      </c>
      <c r="F18" s="162"/>
      <c r="G18" s="161"/>
      <c r="H18" s="163">
        <f>SUM(H9:H17)</f>
        <v>160500</v>
      </c>
    </row>
    <row r="20" spans="5:8" x14ac:dyDescent="0.4">
      <c r="E20" s="164" t="s">
        <v>136</v>
      </c>
      <c r="F20" s="164"/>
      <c r="G20" s="164"/>
      <c r="H20" s="165">
        <f>H4-H18</f>
        <v>0</v>
      </c>
    </row>
  </sheetData>
  <hyperlinks>
    <hyperlink ref="K1" location="'Project Status'!A1" display="'Project Status'!A1" xr:uid="{128B9945-69C0-4655-8F8F-40479B01E1EA}"/>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12.3828125" bestFit="1" customWidth="1"/>
    <col min="7" max="7" width="11"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v>
      </c>
      <c r="F4" s="11" t="str">
        <f>VLOOKUP(A4,'Project Status'!C:J,8,FALSE)</f>
        <v>Construction</v>
      </c>
      <c r="G4" s="11" t="str">
        <f>VLOOKUP(A4,'Project Status'!C:K,9,FALSE)</f>
        <v>Hans Mooy</v>
      </c>
      <c r="H4" s="99">
        <f>VLOOKUP(A4,'Project Status'!C:M,11,FALSE)</f>
        <v>1987500</v>
      </c>
    </row>
    <row r="8" spans="1:11" x14ac:dyDescent="0.4">
      <c r="E8" s="42" t="s">
        <v>124</v>
      </c>
    </row>
    <row r="9" spans="1:11" x14ac:dyDescent="0.4">
      <c r="E9" t="s">
        <v>240</v>
      </c>
      <c r="F9" t="s">
        <v>139</v>
      </c>
      <c r="H9" s="43">
        <v>23400</v>
      </c>
    </row>
    <row r="10" spans="1:11" x14ac:dyDescent="0.4">
      <c r="E10" t="s">
        <v>383</v>
      </c>
      <c r="F10" t="s">
        <v>214</v>
      </c>
      <c r="H10" s="43">
        <v>1964100</v>
      </c>
    </row>
    <row r="12" spans="1:11" x14ac:dyDescent="0.4">
      <c r="F12" s="10"/>
      <c r="G12" s="10"/>
      <c r="H12" s="46"/>
    </row>
    <row r="18" spans="5:8" x14ac:dyDescent="0.4">
      <c r="E18" s="161" t="s">
        <v>271</v>
      </c>
      <c r="F18" s="162"/>
      <c r="G18" s="161"/>
      <c r="H18" s="163">
        <f>SUM(H9:H17)</f>
        <v>1987500</v>
      </c>
    </row>
    <row r="20" spans="5:8" x14ac:dyDescent="0.4">
      <c r="E20" s="164" t="s">
        <v>136</v>
      </c>
      <c r="F20" s="164"/>
      <c r="G20" s="164"/>
      <c r="H20" s="165">
        <f>H4-H18</f>
        <v>0</v>
      </c>
    </row>
  </sheetData>
  <hyperlinks>
    <hyperlink ref="K1" location="'Project Status'!A1" display="'Project Status'!A1" xr:uid="{8E337751-EDF1-4608-B301-35648AFC4573}"/>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8"/>
  </sheetPr>
  <dimension ref="A1:K20"/>
  <sheetViews>
    <sheetView zoomScale="90" zoomScaleNormal="90" workbookViewId="0">
      <selection activeCell="I3" sqref="I3:I4"/>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32.38281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Warranty or Construction Closeout</v>
      </c>
      <c r="G4" s="11" t="str">
        <f>VLOOKUP(A4,'Project Status'!C:K,9,FALSE)</f>
        <v>Ben Bedock</v>
      </c>
      <c r="H4" s="99">
        <f>VLOOKUP(A4,'Project Status'!C:M,11,FALSE)</f>
        <v>300000</v>
      </c>
      <c r="I4" s="202">
        <f>VLOOKUP(B4,'Project Status'!D:N,11,FALSE)</f>
        <v>276500</v>
      </c>
    </row>
    <row r="8" spans="1:11" x14ac:dyDescent="0.4">
      <c r="E8" s="42" t="s">
        <v>124</v>
      </c>
    </row>
    <row r="9" spans="1:11" x14ac:dyDescent="0.4">
      <c r="E9" s="22" t="s">
        <v>279</v>
      </c>
      <c r="F9" t="s">
        <v>139</v>
      </c>
      <c r="H9" s="43">
        <v>300000</v>
      </c>
    </row>
    <row r="10" spans="1:11" x14ac:dyDescent="0.4">
      <c r="E10" s="22"/>
    </row>
    <row r="12" spans="1:11" x14ac:dyDescent="0.4">
      <c r="F12" s="10"/>
      <c r="G12" s="10"/>
      <c r="H12" s="46"/>
    </row>
    <row r="18" spans="5:8" x14ac:dyDescent="0.4">
      <c r="E18" s="161" t="s">
        <v>271</v>
      </c>
      <c r="F18" s="162"/>
      <c r="G18" s="161"/>
      <c r="H18" s="163">
        <f>SUM(H9:H17)</f>
        <v>300000</v>
      </c>
    </row>
    <row r="20" spans="5:8" x14ac:dyDescent="0.4">
      <c r="E20" s="164" t="s">
        <v>136</v>
      </c>
      <c r="F20" s="164"/>
      <c r="G20" s="164"/>
      <c r="H20" s="165">
        <f>H4-H18</f>
        <v>0</v>
      </c>
    </row>
  </sheetData>
  <hyperlinks>
    <hyperlink ref="K1" location="'Project Status'!A1" display="'Project Status'!A1" xr:uid="{A4399369-1559-421B-AF40-A08546DD82BC}"/>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1"/>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9" bestFit="1" customWidth="1"/>
    <col min="7" max="7" width="12.3046875" bestFit="1" customWidth="1"/>
    <col min="8" max="8" width="16.53515625" bestFit="1" customWidth="1"/>
    <col min="9" max="9" width="12.1523437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99">
        <f>VLOOKUP(A4,'Project Status'!C:M,11,FALSE)</f>
        <v>24997</v>
      </c>
      <c r="I4" s="202">
        <f>VLOOKUP(B4,'Project Status'!D:N,11,FALSE)</f>
        <v>17972</v>
      </c>
    </row>
    <row r="8" spans="1:11" x14ac:dyDescent="0.4">
      <c r="E8" s="42" t="s">
        <v>124</v>
      </c>
    </row>
    <row r="9" spans="1:11" x14ac:dyDescent="0.4">
      <c r="E9" s="22" t="s">
        <v>272</v>
      </c>
      <c r="F9" t="s">
        <v>139</v>
      </c>
      <c r="H9" s="43">
        <v>19297</v>
      </c>
    </row>
    <row r="10" spans="1:11" x14ac:dyDescent="0.4">
      <c r="E10" s="22" t="s">
        <v>279</v>
      </c>
      <c r="F10" t="s">
        <v>214</v>
      </c>
      <c r="H10" s="43">
        <v>5700</v>
      </c>
    </row>
    <row r="11" spans="1:11" x14ac:dyDescent="0.4">
      <c r="E11" s="22" t="s">
        <v>360</v>
      </c>
      <c r="F11" t="s">
        <v>310</v>
      </c>
      <c r="H11" s="43">
        <v>-7025</v>
      </c>
    </row>
    <row r="12" spans="1:11" x14ac:dyDescent="0.4">
      <c r="F12" s="10"/>
      <c r="G12" s="10"/>
      <c r="H12" s="46"/>
    </row>
    <row r="18" spans="5:8" x14ac:dyDescent="0.4">
      <c r="E18" s="161" t="s">
        <v>271</v>
      </c>
      <c r="F18" s="162"/>
      <c r="G18" s="161"/>
      <c r="H18" s="163">
        <f>SUM(H9:H17)</f>
        <v>17972</v>
      </c>
    </row>
    <row r="20" spans="5:8" x14ac:dyDescent="0.4">
      <c r="E20" s="164" t="s">
        <v>136</v>
      </c>
      <c r="F20" s="164"/>
      <c r="G20" s="164"/>
      <c r="H20" s="165">
        <f>I4-H18</f>
        <v>0</v>
      </c>
    </row>
  </sheetData>
  <hyperlinks>
    <hyperlink ref="K1" location="'Project Status'!A1" display="'Project Status'!A1" xr:uid="{FE9FE35D-5ADF-428F-9C73-430E553BB9E5}"/>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17.53515625" bestFit="1" customWidth="1"/>
    <col min="7" max="7" width="11.3046875" bestFit="1" customWidth="1"/>
    <col min="8" max="8" width="16.53515625" bestFit="1" customWidth="1"/>
    <col min="9" max="9" width="13.304687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Financial Closeout</v>
      </c>
      <c r="G4" s="11" t="str">
        <f>VLOOKUP(A4,'Project Status'!C:K,9,FALSE)</f>
        <v>Ben Bedock</v>
      </c>
      <c r="H4" s="99">
        <f>VLOOKUP(A4,'Project Status'!C:M,11,FALSE)</f>
        <v>483440</v>
      </c>
      <c r="I4" s="202">
        <f>VLOOKUP(B4,'Project Status'!D:N,11,FALSE)</f>
        <v>450775</v>
      </c>
    </row>
    <row r="8" spans="1:11" x14ac:dyDescent="0.4">
      <c r="E8" s="42" t="s">
        <v>124</v>
      </c>
    </row>
    <row r="9" spans="1:11" x14ac:dyDescent="0.4">
      <c r="E9" s="22" t="s">
        <v>309</v>
      </c>
      <c r="F9" t="s">
        <v>139</v>
      </c>
      <c r="H9" s="43">
        <v>483440</v>
      </c>
    </row>
    <row r="10" spans="1:11" x14ac:dyDescent="0.4">
      <c r="E10" s="22"/>
      <c r="H10" s="43"/>
    </row>
    <row r="12" spans="1:11" x14ac:dyDescent="0.4">
      <c r="F12" s="10"/>
      <c r="G12" s="10"/>
      <c r="H12" s="46"/>
    </row>
    <row r="18" spans="5:8" x14ac:dyDescent="0.4">
      <c r="E18" s="161" t="s">
        <v>271</v>
      </c>
      <c r="F18" s="162"/>
      <c r="G18" s="161"/>
      <c r="H18" s="163">
        <f>SUM(H9:H17)</f>
        <v>483440</v>
      </c>
    </row>
    <row r="20" spans="5:8" x14ac:dyDescent="0.4">
      <c r="E20" s="164" t="s">
        <v>136</v>
      </c>
      <c r="F20" s="164"/>
      <c r="G20" s="164"/>
      <c r="H20" s="165">
        <f>H4-H18</f>
        <v>0</v>
      </c>
    </row>
  </sheetData>
  <hyperlinks>
    <hyperlink ref="K1" location="'Project Status'!A1" display="'Project Status'!A1" xr:uid="{8D4B950B-46B9-453E-93D9-3BBF9A5CCE1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84"/>
  <sheetViews>
    <sheetView zoomScaleNormal="100" workbookViewId="0">
      <pane ySplit="3" topLeftCell="A4" activePane="bottomLeft" state="frozen"/>
      <selection pane="bottomLeft" activeCell="R1" sqref="R1"/>
    </sheetView>
  </sheetViews>
  <sheetFormatPr defaultRowHeight="14.6" x14ac:dyDescent="0.4"/>
  <cols>
    <col min="1" max="1" width="70" bestFit="1" customWidth="1"/>
    <col min="2" max="2" width="16.69140625" bestFit="1" customWidth="1"/>
    <col min="3" max="3" width="17.3046875" bestFit="1" customWidth="1"/>
    <col min="4" max="4" width="16" bestFit="1" customWidth="1"/>
  </cols>
  <sheetData>
    <row r="1" spans="1:3" s="8" customFormat="1" x14ac:dyDescent="0.4">
      <c r="A1" s="10" t="s">
        <v>204</v>
      </c>
      <c r="B1"/>
      <c r="C1"/>
    </row>
    <row r="3" spans="1:3" x14ac:dyDescent="0.4">
      <c r="A3" s="25" t="s">
        <v>115</v>
      </c>
      <c r="B3" t="s">
        <v>119</v>
      </c>
      <c r="C3" t="s">
        <v>117</v>
      </c>
    </row>
    <row r="4" spans="1:3" x14ac:dyDescent="0.4">
      <c r="A4" s="26" t="s">
        <v>10</v>
      </c>
      <c r="B4" s="27">
        <v>5994745</v>
      </c>
      <c r="C4" s="27">
        <v>5772925</v>
      </c>
    </row>
    <row r="5" spans="1:3" x14ac:dyDescent="0.4">
      <c r="A5" s="22" t="s">
        <v>100</v>
      </c>
      <c r="B5" s="27">
        <v>773000</v>
      </c>
      <c r="C5" s="27">
        <v>547093</v>
      </c>
    </row>
    <row r="6" spans="1:3" x14ac:dyDescent="0.4">
      <c r="A6" s="211" t="s">
        <v>324</v>
      </c>
      <c r="B6" s="27">
        <v>24000</v>
      </c>
      <c r="C6" s="27">
        <v>24000</v>
      </c>
    </row>
    <row r="7" spans="1:3" x14ac:dyDescent="0.4">
      <c r="A7" s="211" t="s">
        <v>332</v>
      </c>
      <c r="B7" s="27">
        <v>24000</v>
      </c>
      <c r="C7" s="27">
        <v>24000</v>
      </c>
    </row>
    <row r="8" spans="1:3" x14ac:dyDescent="0.4">
      <c r="A8" s="211" t="s">
        <v>366</v>
      </c>
      <c r="B8" s="27">
        <v>500000</v>
      </c>
      <c r="C8" s="27">
        <v>499093</v>
      </c>
    </row>
    <row r="9" spans="1:3" x14ac:dyDescent="0.4">
      <c r="A9" s="211" t="s">
        <v>389</v>
      </c>
      <c r="B9" s="27">
        <v>75000</v>
      </c>
      <c r="C9" s="27">
        <v>0</v>
      </c>
    </row>
    <row r="10" spans="1:3" x14ac:dyDescent="0.4">
      <c r="A10" s="211" t="s">
        <v>390</v>
      </c>
      <c r="B10" s="27">
        <v>75000</v>
      </c>
      <c r="C10" s="27">
        <v>0</v>
      </c>
    </row>
    <row r="11" spans="1:3" x14ac:dyDescent="0.4">
      <c r="A11" s="211" t="s">
        <v>391</v>
      </c>
      <c r="B11" s="27">
        <v>75000</v>
      </c>
      <c r="C11" s="27">
        <v>0</v>
      </c>
    </row>
    <row r="12" spans="1:3" x14ac:dyDescent="0.4">
      <c r="A12" s="22" t="s">
        <v>325</v>
      </c>
      <c r="B12" s="27">
        <v>25000</v>
      </c>
      <c r="C12" s="27">
        <v>24997</v>
      </c>
    </row>
    <row r="13" spans="1:3" x14ac:dyDescent="0.4">
      <c r="A13" s="211" t="s">
        <v>268</v>
      </c>
      <c r="B13" s="27">
        <v>25000</v>
      </c>
      <c r="C13" s="27">
        <v>24997</v>
      </c>
    </row>
    <row r="14" spans="1:3" x14ac:dyDescent="0.4">
      <c r="A14" s="22" t="s">
        <v>269</v>
      </c>
      <c r="B14" s="27">
        <v>885870</v>
      </c>
      <c r="C14" s="27">
        <v>891447</v>
      </c>
    </row>
    <row r="15" spans="1:3" x14ac:dyDescent="0.4">
      <c r="A15" s="211" t="s">
        <v>184</v>
      </c>
      <c r="B15" s="27">
        <v>781870</v>
      </c>
      <c r="C15" s="27">
        <v>781870</v>
      </c>
    </row>
    <row r="16" spans="1:3" x14ac:dyDescent="0.4">
      <c r="A16" s="211" t="s">
        <v>323</v>
      </c>
      <c r="B16" s="27">
        <v>24000</v>
      </c>
      <c r="C16" s="27">
        <v>24000</v>
      </c>
    </row>
    <row r="17" spans="1:3" x14ac:dyDescent="0.4">
      <c r="A17" s="211" t="s">
        <v>365</v>
      </c>
      <c r="B17" s="27">
        <v>80000</v>
      </c>
      <c r="C17" s="27">
        <v>85577</v>
      </c>
    </row>
    <row r="18" spans="1:3" x14ac:dyDescent="0.4">
      <c r="A18" s="22" t="s">
        <v>300</v>
      </c>
      <c r="B18" s="27">
        <v>3630875</v>
      </c>
      <c r="C18" s="27">
        <v>3630875</v>
      </c>
    </row>
    <row r="19" spans="1:3" x14ac:dyDescent="0.4">
      <c r="A19" s="211" t="s">
        <v>111</v>
      </c>
      <c r="B19" s="27">
        <v>125875</v>
      </c>
      <c r="C19" s="27">
        <v>125875</v>
      </c>
    </row>
    <row r="20" spans="1:3" x14ac:dyDescent="0.4">
      <c r="A20" s="211" t="s">
        <v>236</v>
      </c>
      <c r="B20" s="27">
        <v>2790000</v>
      </c>
      <c r="C20" s="27">
        <v>2790000</v>
      </c>
    </row>
    <row r="21" spans="1:3" x14ac:dyDescent="0.4">
      <c r="A21" s="211" t="s">
        <v>263</v>
      </c>
      <c r="B21" s="27">
        <v>715000</v>
      </c>
      <c r="C21" s="27">
        <v>715000</v>
      </c>
    </row>
    <row r="22" spans="1:3" x14ac:dyDescent="0.4">
      <c r="A22" s="22" t="s">
        <v>178</v>
      </c>
      <c r="B22" s="27">
        <v>680000</v>
      </c>
      <c r="C22" s="27">
        <v>678513</v>
      </c>
    </row>
    <row r="23" spans="1:3" x14ac:dyDescent="0.4">
      <c r="A23" s="211" t="s">
        <v>218</v>
      </c>
      <c r="B23" s="27">
        <v>680000</v>
      </c>
      <c r="C23" s="27">
        <v>678513</v>
      </c>
    </row>
    <row r="24" spans="1:3" x14ac:dyDescent="0.4">
      <c r="A24" s="26" t="s">
        <v>12</v>
      </c>
      <c r="B24" s="27">
        <v>3815390</v>
      </c>
      <c r="C24" s="27">
        <v>2538390</v>
      </c>
    </row>
    <row r="25" spans="1:3" x14ac:dyDescent="0.4">
      <c r="A25" s="22" t="s">
        <v>101</v>
      </c>
      <c r="B25" s="27">
        <v>1987500</v>
      </c>
      <c r="C25" s="27">
        <v>1987500</v>
      </c>
    </row>
    <row r="26" spans="1:3" x14ac:dyDescent="0.4">
      <c r="A26" s="211" t="s">
        <v>231</v>
      </c>
      <c r="B26" s="27">
        <v>1987500</v>
      </c>
      <c r="C26" s="27">
        <v>1987500</v>
      </c>
    </row>
    <row r="27" spans="1:3" x14ac:dyDescent="0.4">
      <c r="A27" s="22" t="s">
        <v>100</v>
      </c>
      <c r="B27" s="27">
        <v>1500000</v>
      </c>
      <c r="C27" s="27">
        <v>223000</v>
      </c>
    </row>
    <row r="28" spans="1:3" x14ac:dyDescent="0.4">
      <c r="A28" s="211" t="s">
        <v>374</v>
      </c>
      <c r="B28" s="27">
        <v>1500000</v>
      </c>
      <c r="C28" s="27">
        <v>223000</v>
      </c>
    </row>
    <row r="29" spans="1:3" x14ac:dyDescent="0.4">
      <c r="A29" s="22" t="s">
        <v>300</v>
      </c>
      <c r="B29" s="27">
        <v>327890</v>
      </c>
      <c r="C29" s="27">
        <v>327890</v>
      </c>
    </row>
    <row r="30" spans="1:3" x14ac:dyDescent="0.4">
      <c r="A30" s="211" t="s">
        <v>187</v>
      </c>
      <c r="B30" s="27">
        <v>327890</v>
      </c>
      <c r="C30" s="27">
        <v>327890</v>
      </c>
    </row>
    <row r="31" spans="1:3" x14ac:dyDescent="0.4">
      <c r="A31" s="26" t="s">
        <v>14</v>
      </c>
      <c r="B31" s="27">
        <v>8450000</v>
      </c>
      <c r="C31" s="27">
        <v>3826500</v>
      </c>
    </row>
    <row r="32" spans="1:3" x14ac:dyDescent="0.4">
      <c r="A32" s="22" t="s">
        <v>101</v>
      </c>
      <c r="B32" s="27">
        <v>3800000</v>
      </c>
      <c r="C32" s="27">
        <v>3800000</v>
      </c>
    </row>
    <row r="33" spans="1:3" x14ac:dyDescent="0.4">
      <c r="A33" s="211" t="s">
        <v>363</v>
      </c>
      <c r="B33" s="27">
        <v>3800000</v>
      </c>
      <c r="C33" s="27">
        <v>3800000</v>
      </c>
    </row>
    <row r="34" spans="1:3" x14ac:dyDescent="0.4">
      <c r="A34" s="22" t="s">
        <v>267</v>
      </c>
      <c r="B34" s="27">
        <v>4650000</v>
      </c>
      <c r="C34" s="27">
        <v>26500</v>
      </c>
    </row>
    <row r="35" spans="1:3" x14ac:dyDescent="0.4">
      <c r="A35" s="211" t="s">
        <v>364</v>
      </c>
      <c r="B35" s="27">
        <v>4650000</v>
      </c>
      <c r="C35" s="27">
        <v>26500</v>
      </c>
    </row>
    <row r="36" spans="1:3" x14ac:dyDescent="0.4">
      <c r="A36" s="26" t="s">
        <v>15</v>
      </c>
      <c r="B36" s="27">
        <v>386000</v>
      </c>
      <c r="C36" s="27">
        <v>377933</v>
      </c>
    </row>
    <row r="37" spans="1:3" x14ac:dyDescent="0.4">
      <c r="A37" s="22" t="s">
        <v>100</v>
      </c>
      <c r="B37" s="27">
        <v>0</v>
      </c>
      <c r="C37" s="27">
        <v>377933</v>
      </c>
    </row>
    <row r="38" spans="1:3" x14ac:dyDescent="0.4">
      <c r="A38" s="211" t="s">
        <v>164</v>
      </c>
      <c r="B38" s="27">
        <v>0</v>
      </c>
      <c r="C38" s="27">
        <v>146500</v>
      </c>
    </row>
    <row r="39" spans="1:3" x14ac:dyDescent="0.4">
      <c r="A39" s="211" t="s">
        <v>162</v>
      </c>
      <c r="B39" s="27">
        <v>0</v>
      </c>
      <c r="C39" s="27">
        <v>231433</v>
      </c>
    </row>
    <row r="40" spans="1:3" x14ac:dyDescent="0.4">
      <c r="A40" s="22" t="s">
        <v>267</v>
      </c>
      <c r="B40" s="27">
        <v>386000</v>
      </c>
      <c r="C40" s="27">
        <v>0</v>
      </c>
    </row>
    <row r="41" spans="1:3" x14ac:dyDescent="0.4">
      <c r="A41" s="211" t="s">
        <v>274</v>
      </c>
      <c r="B41" s="27">
        <v>386000</v>
      </c>
      <c r="C41" s="27">
        <v>0</v>
      </c>
    </row>
    <row r="42" spans="1:3" x14ac:dyDescent="0.4">
      <c r="A42" s="26" t="s">
        <v>154</v>
      </c>
      <c r="B42" s="27">
        <v>1845389</v>
      </c>
      <c r="C42" s="27">
        <v>1928829</v>
      </c>
    </row>
    <row r="43" spans="1:3" x14ac:dyDescent="0.4">
      <c r="A43" s="22" t="s">
        <v>269</v>
      </c>
      <c r="B43" s="27">
        <v>400000</v>
      </c>
      <c r="C43" s="27">
        <v>483440</v>
      </c>
    </row>
    <row r="44" spans="1:3" x14ac:dyDescent="0.4">
      <c r="A44" s="211" t="s">
        <v>283</v>
      </c>
      <c r="B44" s="27">
        <v>400000</v>
      </c>
      <c r="C44" s="27">
        <v>483440</v>
      </c>
    </row>
    <row r="45" spans="1:3" x14ac:dyDescent="0.4">
      <c r="A45" s="22" t="s">
        <v>300</v>
      </c>
      <c r="B45" s="27">
        <v>1445389</v>
      </c>
      <c r="C45" s="27">
        <v>1445389</v>
      </c>
    </row>
    <row r="46" spans="1:3" x14ac:dyDescent="0.4">
      <c r="A46" s="211" t="s">
        <v>281</v>
      </c>
      <c r="B46" s="27">
        <v>1445389</v>
      </c>
      <c r="C46" s="27">
        <v>1445389</v>
      </c>
    </row>
    <row r="47" spans="1:3" x14ac:dyDescent="0.4">
      <c r="A47" s="22" t="s">
        <v>393</v>
      </c>
      <c r="B47" s="27"/>
      <c r="C47" s="27">
        <v>0</v>
      </c>
    </row>
    <row r="48" spans="1:3" x14ac:dyDescent="0.4">
      <c r="A48" s="211" t="s">
        <v>373</v>
      </c>
      <c r="B48" s="27"/>
      <c r="C48" s="27">
        <v>0</v>
      </c>
    </row>
    <row r="49" spans="1:3" x14ac:dyDescent="0.4">
      <c r="A49" s="26" t="s">
        <v>21</v>
      </c>
      <c r="B49" s="27">
        <v>3143028.5</v>
      </c>
      <c r="C49" s="27">
        <v>1595187.5</v>
      </c>
    </row>
    <row r="50" spans="1:3" x14ac:dyDescent="0.4">
      <c r="A50" s="22" t="s">
        <v>100</v>
      </c>
      <c r="B50" s="27">
        <v>1610000</v>
      </c>
      <c r="C50" s="27">
        <v>160500</v>
      </c>
    </row>
    <row r="51" spans="1:3" x14ac:dyDescent="0.4">
      <c r="A51" s="211" t="s">
        <v>301</v>
      </c>
      <c r="B51" s="27">
        <v>1610000</v>
      </c>
      <c r="C51" s="27">
        <v>160500</v>
      </c>
    </row>
    <row r="52" spans="1:3" x14ac:dyDescent="0.4">
      <c r="A52" s="22" t="s">
        <v>269</v>
      </c>
      <c r="B52" s="27">
        <v>1216485.5</v>
      </c>
      <c r="C52" s="27">
        <v>1216485.5</v>
      </c>
    </row>
    <row r="53" spans="1:3" x14ac:dyDescent="0.4">
      <c r="A53" s="211" t="s">
        <v>299</v>
      </c>
      <c r="B53" s="27">
        <v>1216485.5</v>
      </c>
      <c r="C53" s="27">
        <v>1216485.5</v>
      </c>
    </row>
    <row r="54" spans="1:3" x14ac:dyDescent="0.4">
      <c r="A54" s="22" t="s">
        <v>300</v>
      </c>
      <c r="B54" s="27">
        <v>218202</v>
      </c>
      <c r="C54" s="27">
        <v>218202</v>
      </c>
    </row>
    <row r="55" spans="1:3" x14ac:dyDescent="0.4">
      <c r="A55" s="211" t="s">
        <v>186</v>
      </c>
      <c r="B55" s="27">
        <v>218202</v>
      </c>
      <c r="C55" s="27">
        <v>218202</v>
      </c>
    </row>
    <row r="56" spans="1:3" x14ac:dyDescent="0.4">
      <c r="A56" s="22" t="s">
        <v>224</v>
      </c>
      <c r="B56" s="27">
        <v>98341</v>
      </c>
      <c r="C56" s="27">
        <v>0</v>
      </c>
    </row>
    <row r="57" spans="1:3" x14ac:dyDescent="0.4">
      <c r="A57" s="211" t="s">
        <v>380</v>
      </c>
      <c r="B57" s="27">
        <v>98341</v>
      </c>
      <c r="C57" s="27">
        <v>0</v>
      </c>
    </row>
    <row r="58" spans="1:3" x14ac:dyDescent="0.4">
      <c r="A58" s="26" t="s">
        <v>28</v>
      </c>
      <c r="B58" s="27">
        <v>3393531.26</v>
      </c>
      <c r="C58" s="27">
        <v>3352972.26</v>
      </c>
    </row>
    <row r="59" spans="1:3" x14ac:dyDescent="0.4">
      <c r="A59" s="22" t="s">
        <v>325</v>
      </c>
      <c r="B59" s="27">
        <v>823505.26</v>
      </c>
      <c r="C59" s="27">
        <v>823005.26</v>
      </c>
    </row>
    <row r="60" spans="1:3" x14ac:dyDescent="0.4">
      <c r="A60" s="211" t="s">
        <v>105</v>
      </c>
      <c r="B60" s="27">
        <v>456850</v>
      </c>
      <c r="C60" s="27">
        <v>456850</v>
      </c>
    </row>
    <row r="61" spans="1:3" x14ac:dyDescent="0.4">
      <c r="A61" s="211" t="s">
        <v>108</v>
      </c>
      <c r="B61" s="27">
        <v>17500</v>
      </c>
      <c r="C61" s="27">
        <v>22000</v>
      </c>
    </row>
    <row r="62" spans="1:3" x14ac:dyDescent="0.4">
      <c r="A62" s="211" t="s">
        <v>333</v>
      </c>
      <c r="B62" s="27">
        <v>5000</v>
      </c>
      <c r="C62" s="27">
        <v>0</v>
      </c>
    </row>
    <row r="63" spans="1:3" x14ac:dyDescent="0.4">
      <c r="A63" s="211" t="s">
        <v>242</v>
      </c>
      <c r="B63" s="27">
        <v>344155.26</v>
      </c>
      <c r="C63" s="27">
        <v>344155.26</v>
      </c>
    </row>
    <row r="64" spans="1:3" x14ac:dyDescent="0.4">
      <c r="A64" s="22" t="s">
        <v>269</v>
      </c>
      <c r="B64" s="27">
        <v>856345</v>
      </c>
      <c r="C64" s="27">
        <v>869895</v>
      </c>
    </row>
    <row r="65" spans="1:3" x14ac:dyDescent="0.4">
      <c r="A65" s="211" t="s">
        <v>286</v>
      </c>
      <c r="B65" s="27">
        <v>630554</v>
      </c>
      <c r="C65" s="27">
        <v>630554</v>
      </c>
    </row>
    <row r="66" spans="1:3" x14ac:dyDescent="0.4">
      <c r="A66" s="211" t="s">
        <v>211</v>
      </c>
      <c r="B66" s="27">
        <v>225791</v>
      </c>
      <c r="C66" s="27">
        <v>239341</v>
      </c>
    </row>
    <row r="67" spans="1:3" x14ac:dyDescent="0.4">
      <c r="A67" s="22" t="s">
        <v>300</v>
      </c>
      <c r="B67" s="27">
        <v>1632681</v>
      </c>
      <c r="C67" s="27">
        <v>1638472</v>
      </c>
    </row>
    <row r="68" spans="1:3" x14ac:dyDescent="0.4">
      <c r="A68" s="211" t="s">
        <v>185</v>
      </c>
      <c r="B68" s="27">
        <v>1232681</v>
      </c>
      <c r="C68" s="27">
        <v>1232681</v>
      </c>
    </row>
    <row r="69" spans="1:3" x14ac:dyDescent="0.4">
      <c r="A69" s="211" t="s">
        <v>107</v>
      </c>
      <c r="B69" s="27">
        <v>400000</v>
      </c>
      <c r="C69" s="27">
        <v>405791</v>
      </c>
    </row>
    <row r="70" spans="1:3" x14ac:dyDescent="0.4">
      <c r="A70" s="22" t="s">
        <v>224</v>
      </c>
      <c r="B70" s="27">
        <v>81000</v>
      </c>
      <c r="C70" s="27">
        <v>21600</v>
      </c>
    </row>
    <row r="71" spans="1:3" x14ac:dyDescent="0.4">
      <c r="A71" s="211" t="s">
        <v>266</v>
      </c>
      <c r="B71" s="27">
        <v>81000</v>
      </c>
      <c r="C71" s="27">
        <v>0</v>
      </c>
    </row>
    <row r="72" spans="1:3" x14ac:dyDescent="0.4">
      <c r="A72" s="211" t="s">
        <v>357</v>
      </c>
      <c r="B72" s="27">
        <v>0</v>
      </c>
      <c r="C72" s="27">
        <v>21600</v>
      </c>
    </row>
    <row r="73" spans="1:3" x14ac:dyDescent="0.4">
      <c r="A73" s="26" t="s">
        <v>177</v>
      </c>
      <c r="B73" s="27">
        <v>0</v>
      </c>
      <c r="C73" s="27">
        <v>318057</v>
      </c>
    </row>
    <row r="74" spans="1:3" x14ac:dyDescent="0.4">
      <c r="A74" s="22" t="s">
        <v>178</v>
      </c>
      <c r="B74" s="27">
        <v>0</v>
      </c>
      <c r="C74" s="27">
        <v>318057</v>
      </c>
    </row>
    <row r="75" spans="1:3" x14ac:dyDescent="0.4">
      <c r="A75" s="211" t="s">
        <v>280</v>
      </c>
      <c r="B75" s="27">
        <v>0</v>
      </c>
      <c r="C75" s="27">
        <v>318057</v>
      </c>
    </row>
    <row r="76" spans="1:3" x14ac:dyDescent="0.4">
      <c r="A76" s="26" t="s">
        <v>26</v>
      </c>
      <c r="B76" s="27">
        <v>300000</v>
      </c>
      <c r="C76" s="27">
        <v>300000</v>
      </c>
    </row>
    <row r="77" spans="1:3" x14ac:dyDescent="0.4">
      <c r="A77" s="22" t="s">
        <v>300</v>
      </c>
      <c r="B77" s="27">
        <v>300000</v>
      </c>
      <c r="C77" s="27">
        <v>300000</v>
      </c>
    </row>
    <row r="78" spans="1:3" x14ac:dyDescent="0.4">
      <c r="A78" s="211" t="s">
        <v>259</v>
      </c>
      <c r="B78" s="27">
        <v>300000</v>
      </c>
      <c r="C78" s="27">
        <v>300000</v>
      </c>
    </row>
    <row r="79" spans="1:3" x14ac:dyDescent="0.4">
      <c r="A79" s="22" t="s">
        <v>178</v>
      </c>
      <c r="B79" s="27">
        <v>0</v>
      </c>
      <c r="C79" s="27">
        <v>0</v>
      </c>
    </row>
    <row r="80" spans="1:3" x14ac:dyDescent="0.4">
      <c r="A80" s="211" t="s">
        <v>375</v>
      </c>
      <c r="B80" s="27">
        <v>0</v>
      </c>
      <c r="C80" s="27">
        <v>0</v>
      </c>
    </row>
    <row r="81" spans="1:3" x14ac:dyDescent="0.4">
      <c r="A81" s="26" t="s">
        <v>4</v>
      </c>
      <c r="B81" s="27">
        <v>0</v>
      </c>
      <c r="C81" s="27">
        <v>0</v>
      </c>
    </row>
    <row r="82" spans="1:3" x14ac:dyDescent="0.4">
      <c r="A82" s="22" t="s">
        <v>100</v>
      </c>
      <c r="B82" s="27">
        <v>0</v>
      </c>
      <c r="C82" s="27">
        <v>0</v>
      </c>
    </row>
    <row r="83" spans="1:3" x14ac:dyDescent="0.4">
      <c r="A83" s="211" t="s">
        <v>388</v>
      </c>
      <c r="B83" s="27">
        <v>0</v>
      </c>
      <c r="C83" s="27">
        <v>0</v>
      </c>
    </row>
    <row r="84" spans="1:3" x14ac:dyDescent="0.4">
      <c r="A84" s="26" t="s">
        <v>116</v>
      </c>
      <c r="B84" s="27">
        <v>27328083.760000002</v>
      </c>
      <c r="C84" s="27">
        <v>20010793.760000002</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36.3828125" bestFit="1" customWidth="1"/>
    <col min="6" max="6" width="7" bestFit="1" customWidth="1"/>
    <col min="7" max="7" width="12.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20831</v>
      </c>
      <c r="B4" s="11">
        <f>VLOOKUP(A4,'Project Status'!C:D,2,FALSE)</f>
        <v>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Design</v>
      </c>
      <c r="G4" s="11" t="str">
        <f>VLOOKUP(A4,'Project Status'!C:K,9,FALSE)</f>
        <v>Sean Rewers</v>
      </c>
      <c r="H4" s="99">
        <f>VLOOKUP(A4,'Project Status'!C:M,11,FALSE)</f>
        <v>24000</v>
      </c>
    </row>
    <row r="8" spans="1:11" x14ac:dyDescent="0.4">
      <c r="E8" s="42" t="s">
        <v>124</v>
      </c>
    </row>
    <row r="9" spans="1:11" x14ac:dyDescent="0.4">
      <c r="E9" s="22" t="s">
        <v>342</v>
      </c>
      <c r="F9" t="s">
        <v>139</v>
      </c>
      <c r="H9" s="43">
        <v>24000</v>
      </c>
    </row>
    <row r="10" spans="1:11" x14ac:dyDescent="0.4">
      <c r="E10" s="22"/>
      <c r="H10" s="43"/>
    </row>
    <row r="12" spans="1:11" x14ac:dyDescent="0.4">
      <c r="F12" s="10"/>
      <c r="G12" s="10"/>
      <c r="H12" s="46"/>
    </row>
    <row r="18" spans="5:8" x14ac:dyDescent="0.4">
      <c r="E18" s="161" t="s">
        <v>271</v>
      </c>
      <c r="F18" s="162"/>
      <c r="G18" s="161"/>
      <c r="H18" s="163">
        <f>SUM(H9:H17)</f>
        <v>24000</v>
      </c>
    </row>
    <row r="20" spans="5:8" x14ac:dyDescent="0.4">
      <c r="E20" s="164" t="s">
        <v>136</v>
      </c>
      <c r="F20" s="164"/>
      <c r="G20" s="164"/>
      <c r="H20" s="165">
        <f>H4-H18</f>
        <v>0</v>
      </c>
    </row>
  </sheetData>
  <hyperlinks>
    <hyperlink ref="K1" location="'Project Status'!A1" display="'Project Status'!A1" xr:uid="{E8A0A439-2AB4-4540-942F-1B3D83DD7EDD}"/>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4"/>
  </sheetPr>
  <dimension ref="A1:K20"/>
  <sheetViews>
    <sheetView zoomScale="90" zoomScaleNormal="90" workbookViewId="0">
      <selection activeCell="I3" sqref="I3:I4"/>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30.3828125" bestFit="1" customWidth="1"/>
    <col min="6" max="6" width="17.53515625" bestFit="1" customWidth="1"/>
    <col min="7" max="7" width="12.3046875" bestFit="1" customWidth="1"/>
    <col min="8" max="8" width="16.53515625" bestFit="1" customWidth="1"/>
    <col min="9" max="9" width="9.53515625"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c r="I3" s="198" t="s">
        <v>308</v>
      </c>
    </row>
    <row r="4" spans="1:11" x14ac:dyDescent="0.4">
      <c r="A4" s="11">
        <v>20832</v>
      </c>
      <c r="B4" s="11">
        <f>VLOOKUP(A4,'Project Status'!C:D,2,FALSE)</f>
        <v>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Financial Closeout</v>
      </c>
      <c r="G4" s="11" t="str">
        <f>VLOOKUP(A4,'Project Status'!C:K,9,FALSE)</f>
        <v>Sean Rewers</v>
      </c>
      <c r="H4" s="99">
        <f>VLOOKUP(A4,'Project Status'!C:M,11,FALSE)</f>
        <v>24000</v>
      </c>
      <c r="I4" s="202" t="e">
        <f>VLOOKUP(B4,'Project Status'!D:N,11,FALSE)</f>
        <v>#N/A</v>
      </c>
    </row>
    <row r="8" spans="1:11" x14ac:dyDescent="0.4">
      <c r="E8" s="42" t="s">
        <v>124</v>
      </c>
    </row>
    <row r="9" spans="1:11" x14ac:dyDescent="0.4">
      <c r="E9" s="22" t="s">
        <v>342</v>
      </c>
      <c r="F9" t="s">
        <v>139</v>
      </c>
      <c r="H9" s="43">
        <v>24000</v>
      </c>
    </row>
    <row r="10" spans="1:11" x14ac:dyDescent="0.4">
      <c r="E10" s="22"/>
      <c r="H10" s="43"/>
    </row>
    <row r="12" spans="1:11" x14ac:dyDescent="0.4">
      <c r="F12" s="10"/>
      <c r="G12" s="10"/>
      <c r="H12" s="46"/>
    </row>
    <row r="18" spans="5:8" x14ac:dyDescent="0.4">
      <c r="E18" s="161" t="s">
        <v>271</v>
      </c>
      <c r="F18" s="162"/>
      <c r="G18" s="161"/>
      <c r="H18" s="163">
        <f>SUM(H9:H17)</f>
        <v>24000</v>
      </c>
    </row>
    <row r="20" spans="5:8" x14ac:dyDescent="0.4">
      <c r="E20" s="164" t="s">
        <v>136</v>
      </c>
      <c r="F20" s="164"/>
      <c r="G20" s="164"/>
      <c r="H20" s="165">
        <f>H4-H18</f>
        <v>0</v>
      </c>
    </row>
  </sheetData>
  <hyperlinks>
    <hyperlink ref="K1" location="'Project Status'!A1" display="'Project Status'!A1" xr:uid="{9BBBF562-A58E-43EF-88BF-D8E408EC28DC}"/>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4"/>
  </sheetPr>
  <dimension ref="A1:K20"/>
  <sheetViews>
    <sheetView zoomScale="90" zoomScaleNormal="90" workbookViewId="0">
      <selection activeCell="H20" sqref="H20"/>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27.69140625" bestFit="1" customWidth="1"/>
    <col min="6" max="6" width="7" bestFit="1" customWidth="1"/>
    <col min="7" max="7" width="12.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20833</v>
      </c>
      <c r="B4" s="11">
        <f>VLOOKUP(A4,'Project Status'!C:D,2,FALSE)</f>
        <v>0</v>
      </c>
      <c r="C4" s="11">
        <f>VLOOKUP(A4,'Project Status'!C:E,3,FALSE)</f>
        <v>0</v>
      </c>
      <c r="D4" s="11" t="str">
        <f>VLOOKUP(A4,'Project Status'!C:F,4,FALSE)</f>
        <v>12000 - Arts and Science: Office of the Dean</v>
      </c>
      <c r="E4" s="11" t="str">
        <f>VLOOKUP(A4,'Project Status'!C:I,7,FALSE)</f>
        <v>SC5 - HVAC Replacement</v>
      </c>
      <c r="F4" s="11" t="str">
        <f>VLOOKUP(A4,'Project Status'!C:J,8,FALSE)</f>
        <v>Design</v>
      </c>
      <c r="G4" s="11" t="str">
        <f>VLOOKUP(A4,'Project Status'!C:K,9,FALSE)</f>
        <v>Sean Rewers</v>
      </c>
      <c r="H4" s="99">
        <f>VLOOKUP(A4,'Project Status'!C:M,11,FALSE)</f>
        <v>24000</v>
      </c>
    </row>
    <row r="8" spans="1:11" x14ac:dyDescent="0.4">
      <c r="E8" s="42" t="s">
        <v>124</v>
      </c>
    </row>
    <row r="9" spans="1:11" x14ac:dyDescent="0.4">
      <c r="E9" s="22" t="s">
        <v>342</v>
      </c>
      <c r="F9" t="s">
        <v>139</v>
      </c>
      <c r="H9" s="43">
        <v>24000</v>
      </c>
    </row>
    <row r="10" spans="1:11" x14ac:dyDescent="0.4">
      <c r="E10" s="22"/>
      <c r="H10" s="43"/>
    </row>
    <row r="12" spans="1:11" x14ac:dyDescent="0.4">
      <c r="F12" s="10"/>
      <c r="G12" s="10"/>
      <c r="H12" s="46"/>
    </row>
    <row r="18" spans="5:8" x14ac:dyDescent="0.4">
      <c r="E18" s="161" t="s">
        <v>271</v>
      </c>
      <c r="F18" s="162"/>
      <c r="G18" s="161"/>
      <c r="H18" s="163">
        <f>SUM(H9:H17)</f>
        <v>24000</v>
      </c>
    </row>
    <row r="20" spans="5:8" x14ac:dyDescent="0.4">
      <c r="E20" s="164" t="s">
        <v>136</v>
      </c>
      <c r="F20" s="164"/>
      <c r="G20" s="164"/>
      <c r="H20" s="165">
        <f>H4-H18</f>
        <v>0</v>
      </c>
    </row>
  </sheetData>
  <hyperlinks>
    <hyperlink ref="K1" location="'Project Status'!A1" display="'Project Status'!A1" xr:uid="{B25E1A88-3C72-4B3E-99ED-E68E24C515C3}"/>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48A04-F557-4BEB-A4C1-92583AFD49FF}">
  <sheetPr>
    <tabColor theme="4"/>
  </sheetPr>
  <dimension ref="A1:K20"/>
  <sheetViews>
    <sheetView zoomScale="90" zoomScaleNormal="90" workbookViewId="0">
      <selection sqref="A1:XFD1048576"/>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20857</v>
      </c>
      <c r="B4" s="11">
        <f>VLOOKUP(A4,'Project Status'!C:D,2,FALSE)</f>
        <v>0</v>
      </c>
      <c r="C4" s="11" t="str">
        <f>VLOOKUP(A4,'Project Status'!C:E,3,FALSE)</f>
        <v>CP_400227</v>
      </c>
      <c r="D4" s="11" t="str">
        <f>VLOOKUP(A4,'Project Status'!C:F,4,FALSE)</f>
        <v>21000 - Peabody College: Office of the Dean</v>
      </c>
      <c r="E4" s="11" t="str">
        <f>VLOOKUP(A4,'Project Status'!C:I,7,FALSE)</f>
        <v>One Magnolia Circle - Elevator Modernization</v>
      </c>
      <c r="F4" s="11" t="str">
        <f>VLOOKUP(A4,'Project Status'!C:J,8,FALSE)</f>
        <v>Bidding</v>
      </c>
      <c r="G4" s="11" t="str">
        <f>VLOOKUP(A4,'Project Status'!C:K,9,FALSE)</f>
        <v>Ben Bedock</v>
      </c>
      <c r="H4" s="99">
        <f>VLOOKUP(A4,'Project Status'!C:M,11,FALSE)</f>
        <v>21600</v>
      </c>
    </row>
    <row r="8" spans="1:11" x14ac:dyDescent="0.4">
      <c r="E8" s="42" t="s">
        <v>124</v>
      </c>
    </row>
    <row r="9" spans="1:11" x14ac:dyDescent="0.4">
      <c r="E9" s="22" t="s">
        <v>360</v>
      </c>
      <c r="F9" t="s">
        <v>139</v>
      </c>
      <c r="H9" s="43">
        <v>17600</v>
      </c>
    </row>
    <row r="10" spans="1:11" x14ac:dyDescent="0.4">
      <c r="E10" s="22" t="s">
        <v>386</v>
      </c>
      <c r="F10" t="s">
        <v>214</v>
      </c>
      <c r="H10" s="43">
        <v>4000</v>
      </c>
    </row>
    <row r="12" spans="1:11" x14ac:dyDescent="0.4">
      <c r="F12" s="10"/>
      <c r="G12" s="10"/>
      <c r="H12" s="46"/>
    </row>
    <row r="18" spans="5:8" x14ac:dyDescent="0.4">
      <c r="E18" s="161" t="s">
        <v>271</v>
      </c>
      <c r="F18" s="162"/>
      <c r="G18" s="161"/>
      <c r="H18" s="163">
        <f>SUM(H9:H17)</f>
        <v>21600</v>
      </c>
    </row>
    <row r="20" spans="5:8" x14ac:dyDescent="0.4">
      <c r="E20" s="164" t="s">
        <v>136</v>
      </c>
      <c r="F20" s="164"/>
      <c r="G20" s="164"/>
      <c r="H20" s="165">
        <f>H4-H18</f>
        <v>0</v>
      </c>
    </row>
  </sheetData>
  <hyperlinks>
    <hyperlink ref="K1" location="'Project Status'!A1" display="'Project Status'!A1" xr:uid="{44D30970-1FF4-45A8-8754-6C4835EEDD6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A448-F662-4D3F-98EA-55FC35F50E0A}">
  <dimension ref="A1:K20"/>
  <sheetViews>
    <sheetView workbookViewId="0">
      <selection activeCell="E29" sqref="E29"/>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20911</v>
      </c>
      <c r="B4" s="11">
        <f>VLOOKUP(A4,'Project Status'!C:D,2,FALSE)</f>
        <v>0</v>
      </c>
      <c r="C4" s="11">
        <f>VLOOKUP(A4,'Project Status'!C:E,3,FALSE)</f>
        <v>0</v>
      </c>
      <c r="D4" s="11" t="str">
        <f>VLOOKUP(A4,'Project Status'!C:F,4,FALSE)</f>
        <v>12000 - Arts and Science: Office of the Dean</v>
      </c>
      <c r="E4" s="11" t="str">
        <f>VLOOKUP(A4,'Project Status'!C:I,7,FALSE)</f>
        <v>Buttrick Hall - Elevator Upgrades</v>
      </c>
      <c r="F4" s="11" t="str">
        <f>VLOOKUP(A4,'Project Status'!C:J,8,FALSE)</f>
        <v>Design</v>
      </c>
      <c r="G4" s="11" t="str">
        <f>VLOOKUP(A4,'Project Status'!C:K,9,FALSE)</f>
        <v>Ben Bedock</v>
      </c>
      <c r="H4" s="99">
        <f>VLOOKUP(A4,'Project Status'!C:M,11,FALSE)</f>
        <v>0</v>
      </c>
    </row>
    <row r="8" spans="1:11" x14ac:dyDescent="0.4">
      <c r="E8" s="42" t="s">
        <v>124</v>
      </c>
    </row>
    <row r="9" spans="1:11" x14ac:dyDescent="0.4">
      <c r="E9" s="22" t="s">
        <v>216</v>
      </c>
      <c r="F9" t="s">
        <v>139</v>
      </c>
      <c r="H9" s="43">
        <v>4100</v>
      </c>
    </row>
    <row r="10" spans="1:11" x14ac:dyDescent="0.4">
      <c r="E10" s="22"/>
      <c r="H10" s="43"/>
    </row>
    <row r="12" spans="1:11" x14ac:dyDescent="0.4">
      <c r="F12" s="10"/>
      <c r="G12" s="10"/>
      <c r="H12" s="46"/>
    </row>
    <row r="18" spans="5:8" x14ac:dyDescent="0.4">
      <c r="E18" s="161" t="s">
        <v>271</v>
      </c>
      <c r="F18" s="162"/>
      <c r="G18" s="161"/>
      <c r="H18" s="163">
        <f>SUM(H9:H17)</f>
        <v>4100</v>
      </c>
    </row>
    <row r="20" spans="5:8" x14ac:dyDescent="0.4">
      <c r="E20" s="164" t="s">
        <v>136</v>
      </c>
      <c r="F20" s="164"/>
      <c r="G20" s="164"/>
      <c r="H20" s="165">
        <f>H4-H18</f>
        <v>-4100</v>
      </c>
    </row>
  </sheetData>
  <hyperlinks>
    <hyperlink ref="K1" location="'Project Status'!A1" display="'Project Status'!A1" xr:uid="{35E76966-DD8F-4772-BA40-8D915A539AE1}"/>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1DB6-B120-4352-AFB9-C529CE0F00D7}">
  <dimension ref="A1:K20"/>
  <sheetViews>
    <sheetView workbookViewId="0">
      <selection sqref="A1:XFD1048576"/>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20912</v>
      </c>
      <c r="B4" s="11">
        <f>VLOOKUP(A4,'Project Status'!C:D,2,FALSE)</f>
        <v>0</v>
      </c>
      <c r="C4" s="11">
        <f>VLOOKUP(A4,'Project Status'!C:E,3,FALSE)</f>
        <v>0</v>
      </c>
      <c r="D4" s="11" t="str">
        <f>VLOOKUP(A4,'Project Status'!C:F,4,FALSE)</f>
        <v>12000 - Arts and Science: Office of the Dean</v>
      </c>
      <c r="E4" s="11" t="str">
        <f>VLOOKUP(A4,'Project Status'!C:I,7,FALSE)</f>
        <v>Benson Hall - Elevator Upgrades</v>
      </c>
      <c r="F4" s="11" t="str">
        <f>VLOOKUP(A4,'Project Status'!C:J,8,FALSE)</f>
        <v>Design</v>
      </c>
      <c r="G4" s="11" t="str">
        <f>VLOOKUP(A4,'Project Status'!C:K,9,FALSE)</f>
        <v>Ben Bedock</v>
      </c>
      <c r="H4" s="99">
        <f>VLOOKUP(A4,'Project Status'!C:M,11,FALSE)</f>
        <v>0</v>
      </c>
    </row>
    <row r="8" spans="1:11" x14ac:dyDescent="0.4">
      <c r="E8" s="42" t="s">
        <v>124</v>
      </c>
    </row>
    <row r="9" spans="1:11" x14ac:dyDescent="0.4">
      <c r="E9" s="22" t="s">
        <v>216</v>
      </c>
      <c r="F9" t="s">
        <v>139</v>
      </c>
      <c r="H9" s="43">
        <v>4100</v>
      </c>
    </row>
    <row r="10" spans="1:11" x14ac:dyDescent="0.4">
      <c r="E10" s="22"/>
      <c r="H10" s="43"/>
    </row>
    <row r="12" spans="1:11" x14ac:dyDescent="0.4">
      <c r="F12" s="10"/>
      <c r="G12" s="10"/>
      <c r="H12" s="46"/>
    </row>
    <row r="18" spans="5:8" x14ac:dyDescent="0.4">
      <c r="E18" s="161" t="s">
        <v>271</v>
      </c>
      <c r="F18" s="162"/>
      <c r="G18" s="161"/>
      <c r="H18" s="163">
        <f>SUM(H9:H17)</f>
        <v>4100</v>
      </c>
    </row>
    <row r="20" spans="5:8" x14ac:dyDescent="0.4">
      <c r="E20" s="164" t="s">
        <v>136</v>
      </c>
      <c r="F20" s="164"/>
      <c r="G20" s="164"/>
      <c r="H20" s="165">
        <f>H4-H18</f>
        <v>-4100</v>
      </c>
    </row>
  </sheetData>
  <hyperlinks>
    <hyperlink ref="K1" location="'Project Status'!A1" display="'Project Status'!A1" xr:uid="{76797D86-7F8C-45BA-941C-B03DD87AC227}"/>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23B0B-4EBF-476B-BB3C-26DC893C8FE7}">
  <dimension ref="A1:K20"/>
  <sheetViews>
    <sheetView workbookViewId="0">
      <selection activeCell="K1" sqref="K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42.15234375" bestFit="1" customWidth="1"/>
    <col min="6" max="6" width="7.69140625" bestFit="1" customWidth="1"/>
    <col min="7" max="7" width="11.3046875" bestFit="1" customWidth="1"/>
    <col min="8" max="8" width="16.53515625" bestFit="1" customWidth="1"/>
    <col min="11" max="11" width="16.69140625" bestFit="1" customWidth="1"/>
  </cols>
  <sheetData>
    <row r="1" spans="1:11" x14ac:dyDescent="0.4">
      <c r="K1" s="166" t="s">
        <v>276</v>
      </c>
    </row>
    <row r="3" spans="1:11" x14ac:dyDescent="0.4">
      <c r="A3" s="38" t="s">
        <v>125</v>
      </c>
      <c r="B3" s="37" t="s">
        <v>126</v>
      </c>
      <c r="C3" s="38" t="s">
        <v>127</v>
      </c>
      <c r="D3" s="39" t="s">
        <v>86</v>
      </c>
      <c r="E3" s="39" t="s">
        <v>87</v>
      </c>
      <c r="F3" s="38" t="s">
        <v>128</v>
      </c>
      <c r="G3" s="38" t="s">
        <v>129</v>
      </c>
      <c r="H3" s="40" t="s">
        <v>130</v>
      </c>
    </row>
    <row r="4" spans="1:11" x14ac:dyDescent="0.4">
      <c r="A4" s="11">
        <v>20913</v>
      </c>
      <c r="B4" s="11">
        <f>VLOOKUP(A4,'Project Status'!C:D,2,FALSE)</f>
        <v>0</v>
      </c>
      <c r="C4" s="11">
        <f>VLOOKUP(A4,'Project Status'!C:E,3,FALSE)</f>
        <v>0</v>
      </c>
      <c r="D4" s="11" t="str">
        <f>VLOOKUP(A4,'Project Status'!C:F,4,FALSE)</f>
        <v>12000 - Arts and Science: Office of the Dean</v>
      </c>
      <c r="E4" s="11" t="str">
        <f>VLOOKUP(A4,'Project Status'!C:I,7,FALSE)</f>
        <v>Wilson Hall - Elevator Upgrades</v>
      </c>
      <c r="F4" s="11" t="str">
        <f>VLOOKUP(A4,'Project Status'!C:J,8,FALSE)</f>
        <v>Design</v>
      </c>
      <c r="G4" s="11" t="str">
        <f>VLOOKUP(A4,'Project Status'!C:K,9,FALSE)</f>
        <v>Ben Bedock</v>
      </c>
      <c r="H4" s="99">
        <f>VLOOKUP(A4,'Project Status'!C:M,11,FALSE)</f>
        <v>0</v>
      </c>
    </row>
    <row r="8" spans="1:11" x14ac:dyDescent="0.4">
      <c r="E8" s="42" t="s">
        <v>124</v>
      </c>
    </row>
    <row r="9" spans="1:11" x14ac:dyDescent="0.4">
      <c r="E9" s="22" t="s">
        <v>216</v>
      </c>
      <c r="F9" t="s">
        <v>139</v>
      </c>
      <c r="H9" s="43">
        <v>4100</v>
      </c>
    </row>
    <row r="10" spans="1:11" x14ac:dyDescent="0.4">
      <c r="E10" s="22"/>
      <c r="H10" s="43"/>
    </row>
    <row r="12" spans="1:11" x14ac:dyDescent="0.4">
      <c r="F12" s="10"/>
      <c r="G12" s="10"/>
      <c r="H12" s="46"/>
    </row>
    <row r="18" spans="5:8" x14ac:dyDescent="0.4">
      <c r="E18" s="161" t="s">
        <v>271</v>
      </c>
      <c r="F18" s="162"/>
      <c r="G18" s="161"/>
      <c r="H18" s="163">
        <f>SUM(H9:H17)</f>
        <v>4100</v>
      </c>
    </row>
    <row r="20" spans="5:8" x14ac:dyDescent="0.4">
      <c r="E20" s="164" t="s">
        <v>136</v>
      </c>
      <c r="F20" s="164"/>
      <c r="G20" s="164"/>
      <c r="H20" s="165">
        <f>H4-H18</f>
        <v>-4100</v>
      </c>
    </row>
  </sheetData>
  <hyperlinks>
    <hyperlink ref="K1" location="'Project Status'!A1" display="'Project Status'!A1" xr:uid="{6DCB42CD-4205-4A73-82FB-AB2261487C46}"/>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heetViews>
  <sheetFormatPr defaultRowHeight="14.6" x14ac:dyDescent="0.4"/>
  <cols>
    <col min="1" max="1" width="5.69140625" customWidth="1"/>
    <col min="2" max="2" width="23.3046875" bestFit="1" customWidth="1"/>
    <col min="3" max="3" width="14.3046875" style="43" bestFit="1" customWidth="1"/>
    <col min="4" max="4" width="5.69140625" customWidth="1"/>
    <col min="6" max="6" width="14.3046875" bestFit="1" customWidth="1"/>
    <col min="8" max="8" width="5.69140625" customWidth="1"/>
    <col min="20" max="20" width="9.3046875" customWidth="1"/>
  </cols>
  <sheetData>
    <row r="1" spans="1:10" x14ac:dyDescent="0.4">
      <c r="A1" s="166" t="s">
        <v>276</v>
      </c>
    </row>
    <row r="2" spans="1:10" x14ac:dyDescent="0.4">
      <c r="B2" s="47" t="s">
        <v>140</v>
      </c>
    </row>
    <row r="3" spans="1:10" x14ac:dyDescent="0.4">
      <c r="B3" t="s">
        <v>142</v>
      </c>
    </row>
    <row r="4" spans="1:10" x14ac:dyDescent="0.4">
      <c r="B4" s="48" t="s">
        <v>141</v>
      </c>
      <c r="C4" s="49">
        <f>Contributions!C14</f>
        <v>9364499</v>
      </c>
    </row>
    <row r="5" spans="1:10" x14ac:dyDescent="0.4">
      <c r="B5" s="53" t="s">
        <v>145</v>
      </c>
      <c r="C5" s="54">
        <f>SUM(C1:C4)</f>
        <v>9364499</v>
      </c>
      <c r="J5" s="22"/>
    </row>
    <row r="8" spans="1:10" x14ac:dyDescent="0.4">
      <c r="B8" t="s">
        <v>143</v>
      </c>
      <c r="F8" s="44"/>
    </row>
    <row r="9" spans="1:10" x14ac:dyDescent="0.4">
      <c r="B9" s="22" t="s">
        <v>134</v>
      </c>
      <c r="C9" s="43">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57"/>
    </row>
    <row r="10" spans="1:10" x14ac:dyDescent="0.4">
      <c r="B10" s="22" t="s">
        <v>166</v>
      </c>
      <c r="C10" s="43">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57"/>
    </row>
    <row r="11" spans="1:10" x14ac:dyDescent="0.4">
      <c r="B11" s="22" t="s">
        <v>175</v>
      </c>
      <c r="C11" s="43">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57"/>
    </row>
    <row r="12" spans="1:10" x14ac:dyDescent="0.4">
      <c r="B12" s="22" t="s">
        <v>215</v>
      </c>
      <c r="C12" s="43">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57"/>
    </row>
    <row r="13" spans="1:10" x14ac:dyDescent="0.4">
      <c r="B13" s="22" t="s">
        <v>226</v>
      </c>
      <c r="C13" s="43">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57"/>
    </row>
    <row r="14" spans="1:10" x14ac:dyDescent="0.4">
      <c r="B14" s="22" t="s">
        <v>233</v>
      </c>
      <c r="C14" s="43">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57"/>
    </row>
    <row r="15" spans="1:10" x14ac:dyDescent="0.4">
      <c r="B15" s="22" t="s">
        <v>240</v>
      </c>
      <c r="C15" s="43">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57"/>
    </row>
    <row r="16" spans="1:10" x14ac:dyDescent="0.4">
      <c r="B16" s="22" t="s">
        <v>254</v>
      </c>
      <c r="C16" s="43">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57"/>
    </row>
    <row r="17" spans="1:8" x14ac:dyDescent="0.4">
      <c r="B17" s="22" t="s">
        <v>272</v>
      </c>
      <c r="C17" s="43">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3"/>
    </row>
    <row r="18" spans="1:8" x14ac:dyDescent="0.4">
      <c r="B18" s="22" t="s">
        <v>279</v>
      </c>
      <c r="C18" s="43">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3"/>
    </row>
    <row r="19" spans="1:8" x14ac:dyDescent="0.4">
      <c r="B19" s="22" t="s">
        <v>285</v>
      </c>
      <c r="C19" s="43">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8" t="s">
        <v>309</v>
      </c>
      <c r="C20" s="49">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78"/>
      <c r="B21" s="55" t="s">
        <v>144</v>
      </c>
      <c r="C21" s="56">
        <f>SUM(C9:C20)</f>
        <v>8797286.2599999998</v>
      </c>
      <c r="D21" s="78">
        <f>C21/C5</f>
        <v>0.93942946227021862</v>
      </c>
      <c r="H21" s="78"/>
    </row>
    <row r="24" spans="1:8" x14ac:dyDescent="0.4">
      <c r="A24" s="78"/>
      <c r="B24" s="51" t="s">
        <v>136</v>
      </c>
      <c r="C24" s="52">
        <f>C5-C21</f>
        <v>567212.74000000022</v>
      </c>
      <c r="D24" s="78">
        <f>C24/C5</f>
        <v>6.0570537729781403E-2</v>
      </c>
      <c r="H24" s="78"/>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T49"/>
  <sheetViews>
    <sheetView zoomScaleNormal="100" workbookViewId="0"/>
  </sheetViews>
  <sheetFormatPr defaultRowHeight="14.6" x14ac:dyDescent="0.4"/>
  <cols>
    <col min="1" max="1" width="5.69140625" customWidth="1"/>
    <col min="2" max="2" width="23.3046875" bestFit="1" customWidth="1"/>
    <col min="3" max="3" width="15.3046875" style="43" bestFit="1" customWidth="1"/>
    <col min="4" max="4" width="5.69140625" customWidth="1"/>
    <col min="6" max="6" width="14.3046875" bestFit="1" customWidth="1"/>
    <col min="8" max="8" width="5.69140625" customWidth="1"/>
    <col min="18" max="18" width="10.53515625" bestFit="1" customWidth="1"/>
    <col min="19" max="19" width="10.69140625" bestFit="1" customWidth="1"/>
    <col min="20" max="20" width="10" bestFit="1" customWidth="1"/>
  </cols>
  <sheetData>
    <row r="1" spans="1:10" x14ac:dyDescent="0.4">
      <c r="A1" s="166" t="s">
        <v>276</v>
      </c>
    </row>
    <row r="2" spans="1:10" x14ac:dyDescent="0.4">
      <c r="B2" s="47" t="s">
        <v>140</v>
      </c>
    </row>
    <row r="3" spans="1:10" x14ac:dyDescent="0.4">
      <c r="B3" t="s">
        <v>142</v>
      </c>
      <c r="E3" s="47" t="s">
        <v>328</v>
      </c>
    </row>
    <row r="4" spans="1:10" x14ac:dyDescent="0.4">
      <c r="B4" s="48" t="s">
        <v>322</v>
      </c>
      <c r="C4" s="49">
        <f>Contributions!G14</f>
        <v>11029283.289999999</v>
      </c>
      <c r="E4" s="22" t="s">
        <v>138</v>
      </c>
      <c r="F4" s="43">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LOG_FY24'!E4,'20771'!$H:$H)+SUMIF('20735'!$E:$E,'JE LOG_FY24'!E4,'20735'!$H:$H)+SUMIF('20792'!$E:$E,'JE LOG_FY24'!E4,'20792'!$H:$H)</f>
        <v>0</v>
      </c>
    </row>
    <row r="5" spans="1:10" x14ac:dyDescent="0.4">
      <c r="B5" s="53" t="s">
        <v>145</v>
      </c>
      <c r="C5" s="54">
        <f>SUM(C1:C4)</f>
        <v>11029283.289999999</v>
      </c>
      <c r="J5" s="22"/>
    </row>
    <row r="8" spans="1:10" x14ac:dyDescent="0.4">
      <c r="B8" t="s">
        <v>143</v>
      </c>
      <c r="F8" s="44"/>
    </row>
    <row r="9" spans="1:10" x14ac:dyDescent="0.4">
      <c r="B9" s="22" t="s">
        <v>327</v>
      </c>
      <c r="C9" s="43">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57"/>
    </row>
    <row r="10" spans="1:10" x14ac:dyDescent="0.4">
      <c r="B10" s="22" t="s">
        <v>342</v>
      </c>
      <c r="C10" s="43">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57"/>
    </row>
    <row r="11" spans="1:10" x14ac:dyDescent="0.4">
      <c r="B11" s="22" t="s">
        <v>360</v>
      </c>
      <c r="C11" s="43">
        <f>SUMIF('10085'!$E:$E,'JE LOG_FY24'!B11,'10085'!$H:$H)+SUMIF('10098'!$E:$E,'JE LOG_FY24'!B11,'10098'!$H:$H)+SUMIF('10146'!$E:$E,'JE LOG_FY24'!B11,'10146'!$H:$H)+SUMIF('20179'!$E:$E,'JE LOG_FY24'!B11,'20179'!$H:$H)+SUMIF('20336'!$E:$E,'JE LOG_FY24'!B11,'20336'!$H:$H)+SUMIF('20431'!$E:$E,'JE LOG_FY24'!B11,'20431'!$H:$H)+SUMIF('20478'!$E:$E,'JE LOG_FY24'!B11,'20478'!$H:$H)+SUMIF('20489'!$E:$E,'JE LOG_FY24'!B11,'20489'!$H:$H)+SUMIF('20497'!$E:$E,'JE LOG_FY24'!B11,'20497'!$H:$H)+SUMIF('20506'!$E:$E,'JE LOG_FY24'!B11,'20506'!$H:$H)++SUMIF('20562'!$E:$E,'JE LOG_FY24'!B11,'20562'!$H:$H)+SUMIF('20566'!$E:$E,'JE LOG_FY24'!B11,'20566'!$H:$H)+SUMIF('20573'!$E:$E,'JE LOG_FY24'!B11,'20573'!$H:$H)+SUMIF('20574'!$E:$E,'JE LOG_FY24'!B11,'20574'!$H:$H)+SUMIF('20577'!$E:$E,'JE LOG_FY24'!B11,'20577'!$H:$H)+SUMIF('20644'!$E:$E,'JE LOG_FY24'!B11,'20644'!$H:$H)+SUMIF('20645'!$E:$E,'JE LOG_FY24'!B11,'20645'!$H:$H)+SUMIF('20667'!$E:$E,'JE LOG_FY24'!B11,'20667'!$H:$H)+SUMIF('20668'!$E:$E,'JE LOG_FY24'!B11,'20668'!$H:$H)+SUMIF('20698'!$E:$E,'JE LOG_FY24'!B11,'20698'!$H:$H)+SUMIF('20700'!$E:$E,'JE LOG_FY24'!B11,'20700'!$H:$H)+SUMIF('20701'!$E:$E,'JE LOG_FY24'!B11,'20701'!$H:$H)+SUMIF('20702'!$E:$E,'JE LOG_FY24'!B11,'20702'!$H:$H)+SUMIF('20718'!$E:$E,'JE LOG_FY24'!B11,'20718'!$H:$H)+SUMIF('20723'!$E:$E,'JE LOG_FY24'!B11,'20723'!$H:$H)+SUMIF('20724'!$E:$E,'JE LOG_FY24'!B11,'20724'!$H:$H)+SUMIF('20771'!$E:$E,'JE LOG_FY24'!B11,'20771'!$H:$H)+SUMIF('20735'!$E:$E,'JE LOG_FY24'!B11,'20735'!$H:$H)+SUMIF('20792'!$E:$E,'JE LOG_FY24'!B11,'20792'!$H:$H)+SUMIF('20831'!$E:$E,'JE LOG_FY24'!B11,'20831'!$H:$H)+SUMIF('20832'!$E:$E,'JE LOG_FY24'!B11,'20832'!$H:$H)+SUMIF('20833'!$E:$E,'JE LOG_FY24'!B11,'20833'!$H:$H)+SUMIF('20857'!$E:$E,'JE LOG_FY24'!B11,'20857'!$H:$H)</f>
        <v>-45721</v>
      </c>
      <c r="F11" s="157"/>
    </row>
    <row r="12" spans="1:10" x14ac:dyDescent="0.4">
      <c r="B12" s="22" t="s">
        <v>383</v>
      </c>
      <c r="C12" s="43">
        <f>SUMIF('10085'!$E:$E,'JE LOG_FY24'!B12,'10085'!$H:$H)+SUMIF('10098'!$E:$E,'JE LOG_FY24'!B12,'10098'!$H:$H)+SUMIF('10146'!$E:$E,'JE LOG_FY24'!B12,'10146'!$H:$H)+SUMIF('20179'!$E:$E,'JE LOG_FY24'!B12,'20179'!$H:$H)+SUMIF('20336'!$E:$E,'JE LOG_FY24'!B12,'20336'!$H:$H)+SUMIF('20431'!$E:$E,'JE LOG_FY24'!B12,'20431'!$H:$H)+SUMIF('20478'!$E:$E,'JE LOG_FY24'!B12,'20478'!$H:$H)+SUMIF('20489'!$E:$E,'JE LOG_FY24'!B12,'20489'!$H:$H)+SUMIF('20497'!$E:$E,'JE LOG_FY24'!B12,'20497'!$H:$H)+SUMIF('20506'!$E:$E,'JE LOG_FY24'!B12,'20506'!$H:$H)++SUMIF('20562'!$E:$E,'JE LOG_FY24'!B12,'20562'!$H:$H)+SUMIF('20566'!$E:$E,'JE LOG_FY24'!B12,'20566'!$H:$H)+SUMIF('20573'!$E:$E,'JE LOG_FY24'!B12,'20573'!$H:$H)+SUMIF('20574'!$E:$E,'JE LOG_FY24'!B12,'20574'!$H:$H)+SUMIF('20577'!$E:$E,'JE LOG_FY24'!B12,'20577'!$H:$H)+SUMIF('20644'!$E:$E,'JE LOG_FY24'!B12,'20644'!$H:$H)+SUMIF('20645'!$E:$E,'JE LOG_FY24'!B12,'20645'!$H:$H)+SUMIF('20667'!$E:$E,'JE LOG_FY24'!B12,'20667'!$H:$H)+SUMIF('20668'!$E:$E,'JE LOG_FY24'!B12,'20668'!$H:$H)+SUMIF('20698'!$E:$E,'JE LOG_FY24'!B12,'20698'!$H:$H)+SUMIF('20700'!$E:$E,'JE LOG_FY24'!B12,'20700'!$H:$H)+SUMIF('20701'!$E:$E,'JE LOG_FY24'!B12,'20701'!$H:$H)+SUMIF('20702'!$E:$E,'JE LOG_FY24'!B12,'20702'!$H:$H)+SUMIF('20718'!$E:$E,'JE LOG_FY24'!B12,'20718'!$H:$H)+SUMIF('20723'!$E:$E,'JE LOG_FY24'!B12,'20723'!$H:$H)+SUMIF('20724'!$E:$E,'JE LOG_FY24'!B12,'20724'!$H:$H)+SUMIF('20771'!$E:$E,'JE LOG_FY24'!B12,'20771'!$H:$H)+SUMIF('20735'!$E:$E,'JE LOG_FY24'!B12,'20735'!$H:$H)+SUMIF('20792'!$E:$E,'JE LOG_FY24'!B12,'20792'!$H:$H)+SUMIF('20831'!$E:$E,'JE LOG_FY24'!B12,'20831'!$H:$H)+SUMIF('20832'!$E:$E,'JE LOG_FY24'!B12,'20832'!$H:$H)+SUMIF('20833'!$E:$E,'JE LOG_FY24'!B12,'20833'!$H:$H)+SUMIF('20857'!$E:$E,'JE LOG_FY24'!B12,'20857'!$H:$H)</f>
        <v>1964100</v>
      </c>
      <c r="F12" s="157"/>
    </row>
    <row r="13" spans="1:10" x14ac:dyDescent="0.4">
      <c r="B13" s="22" t="s">
        <v>386</v>
      </c>
      <c r="C13" s="43">
        <f>SUMIF('10085'!$E:$E,'JE LOG_FY24'!B13,'10085'!$H:$H)+SUMIF('10098'!$E:$E,'JE LOG_FY24'!B13,'10098'!$H:$H)+SUMIF('10146'!$E:$E,'JE LOG_FY24'!B13,'10146'!$H:$H)+SUMIF('20179'!$E:$E,'JE LOG_FY24'!B13,'20179'!$H:$H)+SUMIF('20336'!$E:$E,'JE LOG_FY24'!B13,'20336'!$H:$H)+SUMIF('20431'!$E:$E,'JE LOG_FY24'!B13,'20431'!$H:$H)+SUMIF('20478'!$E:$E,'JE LOG_FY24'!B13,'20478'!$H:$H)+SUMIF('20489'!$E:$E,'JE LOG_FY24'!B13,'20489'!$H:$H)+SUMIF('20497'!$E:$E,'JE LOG_FY24'!B13,'20497'!$H:$H)+SUMIF('20506'!$E:$E,'JE LOG_FY24'!B13,'20506'!$H:$H)++SUMIF('20562'!$E:$E,'JE LOG_FY24'!B13,'20562'!$H:$H)+SUMIF('20566'!$E:$E,'JE LOG_FY24'!B13,'20566'!$H:$H)+SUMIF('20573'!$E:$E,'JE LOG_FY24'!B13,'20573'!$H:$H)+SUMIF('20574'!$E:$E,'JE LOG_FY24'!B13,'20574'!$H:$H)+SUMIF('20577'!$E:$E,'JE LOG_FY24'!B13,'20577'!$H:$H)+SUMIF('20644'!$E:$E,'JE LOG_FY24'!B13,'20644'!$H:$H)+SUMIF('20645'!$E:$E,'JE LOG_FY24'!B13,'20645'!$H:$H)+SUMIF('20667'!$E:$E,'JE LOG_FY24'!B13,'20667'!$H:$H)+SUMIF('20668'!$E:$E,'JE LOG_FY24'!B13,'20668'!$H:$H)+SUMIF('20698'!$E:$E,'JE LOG_FY24'!B13,'20698'!$H:$H)+SUMIF('20700'!$E:$E,'JE LOG_FY24'!B13,'20700'!$H:$H)+SUMIF('20701'!$E:$E,'JE LOG_FY24'!B13,'20701'!$H:$H)+SUMIF('20702'!$E:$E,'JE LOG_FY24'!B13,'20702'!$H:$H)+SUMIF('20718'!$E:$E,'JE LOG_FY24'!B13,'20718'!$H:$H)+SUMIF('20723'!$E:$E,'JE LOG_FY24'!B13,'20723'!$H:$H)+SUMIF('20724'!$E:$E,'JE LOG_FY24'!B13,'20724'!$H:$H)+SUMIF('20771'!$E:$E,'JE LOG_FY24'!B13,'20771'!$H:$H)+SUMIF('20735'!$E:$E,'JE LOG_FY24'!B13,'20735'!$H:$H)+SUMIF('20792'!$E:$E,'JE LOG_FY24'!B13,'20792'!$H:$H)+SUMIF('20831'!$E:$E,'JE LOG_FY24'!B13,'20831'!$H:$H)+SUMIF('20832'!$E:$E,'JE LOG_FY24'!B13,'20832'!$H:$H)+SUMIF('20833'!$E:$E,'JE LOG_FY24'!B13,'20833'!$H:$H)+SUMIF('20857'!$E:$E,'JE LOG_FY24'!B13,'20857'!$H:$H)</f>
        <v>893319.04</v>
      </c>
      <c r="F13" s="157"/>
    </row>
    <row r="14" spans="1:10" x14ac:dyDescent="0.4">
      <c r="B14" s="22"/>
      <c r="F14" s="157"/>
    </row>
    <row r="15" spans="1:10" x14ac:dyDescent="0.4">
      <c r="B15" s="22"/>
      <c r="F15" s="157"/>
    </row>
    <row r="16" spans="1:10" x14ac:dyDescent="0.4">
      <c r="B16" s="22"/>
      <c r="F16" s="157"/>
    </row>
    <row r="17" spans="1:20" x14ac:dyDescent="0.4">
      <c r="B17" s="22"/>
      <c r="F17" s="43"/>
    </row>
    <row r="18" spans="1:20" x14ac:dyDescent="0.4">
      <c r="B18" s="22"/>
      <c r="F18" s="43"/>
    </row>
    <row r="19" spans="1:20" x14ac:dyDescent="0.4">
      <c r="B19" s="22"/>
    </row>
    <row r="20" spans="1:20" x14ac:dyDescent="0.4">
      <c r="B20" s="48"/>
      <c r="C20" s="49"/>
    </row>
    <row r="21" spans="1:20" x14ac:dyDescent="0.4">
      <c r="A21" s="78"/>
      <c r="B21" s="55" t="s">
        <v>144</v>
      </c>
      <c r="C21" s="56">
        <f>SUM(C9:C20)</f>
        <v>7590412.04</v>
      </c>
      <c r="D21" s="78"/>
      <c r="H21" s="78"/>
    </row>
    <row r="23" spans="1:20" x14ac:dyDescent="0.4">
      <c r="B23" s="22" t="s">
        <v>329</v>
      </c>
      <c r="C23" s="43">
        <f>'JE LOG_FY23'!C24</f>
        <v>567212.74000000022</v>
      </c>
    </row>
    <row r="24" spans="1:20" x14ac:dyDescent="0.4">
      <c r="B24" s="22" t="s">
        <v>330</v>
      </c>
      <c r="C24" s="43">
        <f>F4</f>
        <v>0</v>
      </c>
    </row>
    <row r="26" spans="1:20" x14ac:dyDescent="0.4">
      <c r="A26" s="78"/>
      <c r="B26" s="51" t="s">
        <v>136</v>
      </c>
      <c r="C26" s="52">
        <f>C5-C21+C23-C24</f>
        <v>4006083.9899999993</v>
      </c>
      <c r="D26" s="78"/>
      <c r="H26" s="78"/>
      <c r="R26" s="249" t="s">
        <v>369</v>
      </c>
      <c r="S26" s="249" t="s">
        <v>370</v>
      </c>
    </row>
    <row r="27" spans="1:20" x14ac:dyDescent="0.4">
      <c r="R27" s="21">
        <v>7025</v>
      </c>
      <c r="S27" s="21">
        <v>24933</v>
      </c>
    </row>
    <row r="28" spans="1:20" x14ac:dyDescent="0.4">
      <c r="R28" s="21">
        <v>36379</v>
      </c>
      <c r="S28" s="21">
        <v>17600</v>
      </c>
    </row>
    <row r="29" spans="1:20" x14ac:dyDescent="0.4">
      <c r="R29" s="21">
        <v>44850</v>
      </c>
      <c r="S29" s="21"/>
    </row>
    <row r="30" spans="1:20" x14ac:dyDescent="0.4">
      <c r="R30" s="255">
        <f>SUM(R27:R29)</f>
        <v>88254</v>
      </c>
      <c r="S30" s="255">
        <f>SUM(S27:S29)</f>
        <v>42533</v>
      </c>
      <c r="T30" s="256">
        <f>SUM(R30:S30)</f>
        <v>130787</v>
      </c>
    </row>
    <row r="31" spans="1:20" x14ac:dyDescent="0.4">
      <c r="S31" s="257">
        <f>S30-R30</f>
        <v>-45721</v>
      </c>
    </row>
    <row r="33" spans="18:20" x14ac:dyDescent="0.4">
      <c r="R33" s="21"/>
      <c r="S33" s="21"/>
    </row>
    <row r="34" spans="18:20" x14ac:dyDescent="0.4">
      <c r="R34" s="249" t="s">
        <v>369</v>
      </c>
      <c r="S34" s="249" t="s">
        <v>370</v>
      </c>
    </row>
    <row r="35" spans="18:20" x14ac:dyDescent="0.4">
      <c r="R35" s="21">
        <v>1964100</v>
      </c>
      <c r="S35" s="21">
        <v>1964100</v>
      </c>
    </row>
    <row r="36" spans="18:20" x14ac:dyDescent="0.4">
      <c r="R36" s="21">
        <v>1964100</v>
      </c>
      <c r="S36" s="21">
        <v>1964100</v>
      </c>
    </row>
    <row r="37" spans="18:20" x14ac:dyDescent="0.4">
      <c r="R37" s="255">
        <f>SUM(R35:R36)</f>
        <v>3928200</v>
      </c>
      <c r="S37" s="255">
        <f>SUM(S35:S36)</f>
        <v>3928200</v>
      </c>
      <c r="T37" s="256"/>
    </row>
    <row r="38" spans="18:20" x14ac:dyDescent="0.4">
      <c r="S38" s="257">
        <f>S37-R37</f>
        <v>0</v>
      </c>
    </row>
    <row r="41" spans="18:20" x14ac:dyDescent="0.4">
      <c r="R41" s="21"/>
      <c r="S41" s="21"/>
    </row>
    <row r="42" spans="18:20" x14ac:dyDescent="0.4">
      <c r="R42" s="249" t="s">
        <v>369</v>
      </c>
      <c r="S42" s="249" t="s">
        <v>370</v>
      </c>
    </row>
    <row r="43" spans="18:20" x14ac:dyDescent="0.4">
      <c r="R43" s="21"/>
      <c r="S43" s="21">
        <v>649263</v>
      </c>
    </row>
    <row r="44" spans="18:20" x14ac:dyDescent="0.4">
      <c r="R44" s="21"/>
      <c r="S44" s="21">
        <v>244457</v>
      </c>
    </row>
    <row r="45" spans="18:20" x14ac:dyDescent="0.4">
      <c r="R45" s="21"/>
      <c r="S45" s="21">
        <v>4000</v>
      </c>
    </row>
    <row r="46" spans="18:20" x14ac:dyDescent="0.4">
      <c r="R46" s="21">
        <v>4400.96</v>
      </c>
      <c r="S46" s="21"/>
    </row>
    <row r="47" spans="18:20" x14ac:dyDescent="0.4">
      <c r="R47" s="255">
        <f>SUM(R43:R46)</f>
        <v>4400.96</v>
      </c>
      <c r="S47" s="255">
        <f>SUM(S43:S46)</f>
        <v>897720</v>
      </c>
      <c r="T47" s="256">
        <f>SUM(R47:S47)</f>
        <v>902120.95999999996</v>
      </c>
    </row>
    <row r="48" spans="18:20" x14ac:dyDescent="0.4">
      <c r="S48" s="257">
        <f>S47-R47</f>
        <v>893319.04</v>
      </c>
    </row>
    <row r="49" spans="18:19" x14ac:dyDescent="0.4">
      <c r="R49" s="21"/>
      <c r="S49" s="21"/>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0"/>
  <sheetViews>
    <sheetView workbookViewId="0">
      <selection activeCell="A12" sqref="A12"/>
    </sheetView>
  </sheetViews>
  <sheetFormatPr defaultRowHeight="14.6" x14ac:dyDescent="0.4"/>
  <cols>
    <col min="2" max="2" width="38.15234375" bestFit="1" customWidth="1"/>
    <col min="3" max="3" width="17.15234375" bestFit="1" customWidth="1"/>
  </cols>
  <sheetData>
    <row r="1" spans="2:3" x14ac:dyDescent="0.4">
      <c r="B1" t="s">
        <v>125</v>
      </c>
      <c r="C1" t="s">
        <v>193</v>
      </c>
    </row>
    <row r="2" spans="2:3" x14ac:dyDescent="0.4">
      <c r="B2" t="s">
        <v>10</v>
      </c>
      <c r="C2" t="s">
        <v>194</v>
      </c>
    </row>
    <row r="3" spans="2:3" x14ac:dyDescent="0.4">
      <c r="B3" t="s">
        <v>12</v>
      </c>
      <c r="C3" t="s">
        <v>196</v>
      </c>
    </row>
    <row r="4" spans="2:3" x14ac:dyDescent="0.4">
      <c r="B4" t="s">
        <v>14</v>
      </c>
      <c r="C4" t="s">
        <v>197</v>
      </c>
    </row>
    <row r="5" spans="2:3" x14ac:dyDescent="0.4">
      <c r="B5" t="s">
        <v>15</v>
      </c>
      <c r="C5" t="s">
        <v>198</v>
      </c>
    </row>
    <row r="6" spans="2:3" x14ac:dyDescent="0.4">
      <c r="B6" t="s">
        <v>154</v>
      </c>
      <c r="C6" t="s">
        <v>199</v>
      </c>
    </row>
    <row r="7" spans="2:3" x14ac:dyDescent="0.4">
      <c r="B7" t="s">
        <v>21</v>
      </c>
      <c r="C7" t="s">
        <v>201</v>
      </c>
    </row>
    <row r="8" spans="2:3" x14ac:dyDescent="0.4">
      <c r="B8" t="s">
        <v>177</v>
      </c>
      <c r="C8" t="s">
        <v>200</v>
      </c>
    </row>
    <row r="9" spans="2:3" x14ac:dyDescent="0.4">
      <c r="B9" t="s">
        <v>26</v>
      </c>
      <c r="C9" t="s">
        <v>195</v>
      </c>
    </row>
    <row r="10" spans="2:3" x14ac:dyDescent="0.4">
      <c r="B10" t="s">
        <v>28</v>
      </c>
      <c r="C10" t="s">
        <v>202</v>
      </c>
    </row>
  </sheetData>
  <sortState xmlns:xlrd2="http://schemas.microsoft.com/office/spreadsheetml/2017/richdata2" ref="B2:B10">
    <sortCondition ref="B2:B1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L14" sqref="L14"/>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3" t="s">
        <v>191</v>
      </c>
      <c r="B1"/>
      <c r="D1"/>
      <c r="E1"/>
      <c r="F1"/>
      <c r="G1"/>
      <c r="H1"/>
      <c r="I1"/>
      <c r="J1"/>
      <c r="K1"/>
      <c r="L1"/>
    </row>
    <row r="2" spans="1:12" s="8" customFormat="1" x14ac:dyDescent="0.4">
      <c r="A2" s="20"/>
      <c r="B2" s="34"/>
      <c r="C2"/>
      <c r="D2"/>
      <c r="E2"/>
      <c r="F2"/>
      <c r="G2"/>
      <c r="H2"/>
      <c r="I2"/>
      <c r="J2"/>
      <c r="K2"/>
      <c r="L2"/>
    </row>
    <row r="3" spans="1:12" ht="15" thickBot="1" x14ac:dyDescent="0.45"/>
    <row r="4" spans="1:12" ht="43.75" customHeight="1" x14ac:dyDescent="0.4">
      <c r="A4" s="23" t="s">
        <v>86</v>
      </c>
      <c r="B4" s="23" t="s">
        <v>99</v>
      </c>
      <c r="C4" s="139" t="s">
        <v>251</v>
      </c>
      <c r="D4" s="140" t="s">
        <v>319</v>
      </c>
      <c r="E4" s="141" t="s">
        <v>122</v>
      </c>
      <c r="F4" s="140" t="s">
        <v>318</v>
      </c>
      <c r="G4" s="142" t="s">
        <v>247</v>
      </c>
      <c r="H4" s="151" t="s">
        <v>252</v>
      </c>
      <c r="I4" s="152" t="s">
        <v>320</v>
      </c>
      <c r="J4" s="141" t="s">
        <v>122</v>
      </c>
      <c r="K4" s="152" t="s">
        <v>249</v>
      </c>
      <c r="L4" s="142" t="s">
        <v>250</v>
      </c>
    </row>
    <row r="5" spans="1:12" x14ac:dyDescent="0.4">
      <c r="A5" t="s">
        <v>194</v>
      </c>
      <c r="B5" s="21">
        <f>Contributions!B5</f>
        <v>1075461.7320675128</v>
      </c>
      <c r="C5" s="143">
        <f>Contributions!C5/1000000</f>
        <v>3.6638259999999998</v>
      </c>
      <c r="D5" s="144">
        <f>SUMIF('Project Status'!G:G,'Shared Building Allocation'!A5,'Project Status'!R:R)/1000000</f>
        <v>1.7179739999999999</v>
      </c>
      <c r="E5" s="145">
        <f>D22/1000000</f>
        <v>0.55831562499999998</v>
      </c>
      <c r="F5" s="144">
        <f>D5+E5</f>
        <v>2.276289625</v>
      </c>
      <c r="G5" s="146">
        <f>C5-F5</f>
        <v>1.3875363749999998</v>
      </c>
      <c r="H5" s="153">
        <f>Contributions!G5/1000000</f>
        <v>4.2048135899999997</v>
      </c>
      <c r="I5" s="154">
        <f>SUMIF('Project Status'!G:G,'Shared Building Allocation'!A5,'Project Status'!U:U)/1000000</f>
        <v>1.974092</v>
      </c>
      <c r="J5" s="145">
        <f>I22/1000000</f>
        <v>-1.540336E-3</v>
      </c>
      <c r="K5" s="154">
        <f t="shared" ref="K5:K13" si="0">I5+J5</f>
        <v>1.972551664</v>
      </c>
      <c r="L5" s="146">
        <f>H5-K5</f>
        <v>2.2322619259999996</v>
      </c>
    </row>
    <row r="6" spans="1:12" x14ac:dyDescent="0.4">
      <c r="A6" t="s">
        <v>196</v>
      </c>
      <c r="B6" s="21">
        <f>Contributions!B6</f>
        <v>121421.42689276834</v>
      </c>
      <c r="C6" s="143">
        <f>Contributions!C6/1000000</f>
        <v>0.41365200000000002</v>
      </c>
      <c r="D6" s="144">
        <f>SUMIF('Project Status'!G:G,'Shared Building Allocation'!A6,'Project Status'!R:R)/1000000</f>
        <v>0.57428999999999997</v>
      </c>
      <c r="E6" s="145"/>
      <c r="F6" s="144">
        <f t="shared" ref="F6:F13" si="1">D6+E6</f>
        <v>0.57428999999999997</v>
      </c>
      <c r="G6" s="146">
        <f t="shared" ref="G6:G13" si="2">C6-F6</f>
        <v>-0.16063799999999995</v>
      </c>
      <c r="H6" s="153">
        <f>Contributions!G6/1000000</f>
        <v>0.48204136999999997</v>
      </c>
      <c r="I6" s="154">
        <f>SUMIF('Project Status'!G:G,'Shared Building Allocation'!A6,'Project Status'!U:U)/1000000</f>
        <v>1.9641</v>
      </c>
      <c r="J6" s="145"/>
      <c r="K6" s="154">
        <f t="shared" si="0"/>
        <v>1.9641</v>
      </c>
      <c r="L6" s="146">
        <f t="shared" ref="L6:L13" si="3">H6-K6</f>
        <v>-1.48205863</v>
      </c>
    </row>
    <row r="7" spans="1:12" x14ac:dyDescent="0.4">
      <c r="A7" t="s">
        <v>197</v>
      </c>
      <c r="B7" s="21">
        <f>Contributions!B7</f>
        <v>57814.730923479161</v>
      </c>
      <c r="C7" s="143">
        <f>Contributions!C7/1000000</f>
        <v>0.19696</v>
      </c>
      <c r="D7" s="144">
        <f>SUMIF('Project Status'!G:G,'Shared Building Allocation'!A7,'Project Status'!R:R)/1000000</f>
        <v>9.6362500000000004E-2</v>
      </c>
      <c r="E7" s="145"/>
      <c r="F7" s="144">
        <f t="shared" si="1"/>
        <v>9.6362500000000004E-2</v>
      </c>
      <c r="G7" s="146">
        <f t="shared" si="2"/>
        <v>0.10059749999999999</v>
      </c>
      <c r="H7" s="153">
        <f>Contributions!G7/1000000</f>
        <v>0.23130411000000001</v>
      </c>
      <c r="I7" s="154">
        <f>SUMIF('Project Status'!G:G,'Shared Building Allocation'!A7,'Project Status'!U:U)/1000000</f>
        <v>3.6603599999999998</v>
      </c>
      <c r="J7" s="145"/>
      <c r="K7" s="154">
        <f t="shared" si="0"/>
        <v>3.6603599999999998</v>
      </c>
      <c r="L7" s="146">
        <f t="shared" si="3"/>
        <v>-3.4290558899999999</v>
      </c>
    </row>
    <row r="8" spans="1:12" x14ac:dyDescent="0.4">
      <c r="A8" t="s">
        <v>198</v>
      </c>
      <c r="B8" s="21">
        <f>Contributions!B8</f>
        <v>537962.332719445</v>
      </c>
      <c r="C8" s="143">
        <f>Contributions!C8/1000000</f>
        <v>1.8327009999999999</v>
      </c>
      <c r="D8" s="144">
        <f>SUMIF('Project Status'!G:G,'Shared Building Allocation'!A8,'Project Status'!R:R)/1000000</f>
        <v>0.35299999999999998</v>
      </c>
      <c r="E8" s="145"/>
      <c r="F8" s="144">
        <f t="shared" si="1"/>
        <v>0.35299999999999998</v>
      </c>
      <c r="G8" s="146">
        <f t="shared" si="2"/>
        <v>1.4797009999999999</v>
      </c>
      <c r="H8" s="153">
        <f>Contributions!G8/1000000</f>
        <v>2.1933376600000001</v>
      </c>
      <c r="I8" s="154">
        <f>SUMIF('Project Status'!G:G,'Shared Building Allocation'!A8,'Project Status'!U:U)/1000000</f>
        <v>2.0249329999999999</v>
      </c>
      <c r="J8" s="145"/>
      <c r="K8" s="154">
        <f t="shared" si="0"/>
        <v>2.0249329999999999</v>
      </c>
      <c r="L8" s="146">
        <f t="shared" si="3"/>
        <v>0.16840466000000021</v>
      </c>
    </row>
    <row r="9" spans="1:12" x14ac:dyDescent="0.4">
      <c r="A9" t="s">
        <v>199</v>
      </c>
      <c r="B9" s="21">
        <f>Contributions!B9</f>
        <v>120155.48460329951</v>
      </c>
      <c r="C9" s="143">
        <f>Contributions!C9/1000000</f>
        <v>0.40933900000000001</v>
      </c>
      <c r="D9" s="144">
        <f>SUMIF('Project Status'!G:G,'Shared Building Allocation'!A9,'Project Status'!R:R)/1000000</f>
        <v>1.2061345000000001</v>
      </c>
      <c r="E9" s="145"/>
      <c r="F9" s="144">
        <f t="shared" si="1"/>
        <v>1.2061345000000001</v>
      </c>
      <c r="G9" s="146">
        <f t="shared" si="2"/>
        <v>-0.7967955000000001</v>
      </c>
      <c r="H9" s="153">
        <f>Contributions!G9/1000000</f>
        <v>0.47701535000000006</v>
      </c>
      <c r="I9" s="154">
        <f>SUMIF('Project Status'!G:G,'Shared Building Allocation'!A9,'Project Status'!U:U)/1000000</f>
        <v>0.42</v>
      </c>
      <c r="J9" s="145"/>
      <c r="K9" s="154">
        <f t="shared" si="0"/>
        <v>0.42</v>
      </c>
      <c r="L9" s="146">
        <f t="shared" si="3"/>
        <v>5.7015350000000076E-2</v>
      </c>
    </row>
    <row r="10" spans="1:12" x14ac:dyDescent="0.4">
      <c r="A10" t="s">
        <v>201</v>
      </c>
      <c r="B10" s="21">
        <f>Contributions!B10</f>
        <v>280022.39987629937</v>
      </c>
      <c r="C10" s="143">
        <f>Contributions!C10/1000000</f>
        <v>0.95396499999999995</v>
      </c>
      <c r="D10" s="144">
        <f>SUMIF('Project Status'!G:G,'Shared Building Allocation'!A10,'Project Status'!R:R)/1000000</f>
        <v>1.5951875</v>
      </c>
      <c r="E10" s="145">
        <f>-D22/1000000</f>
        <v>-0.55831562499999998</v>
      </c>
      <c r="F10" s="144">
        <f t="shared" si="1"/>
        <v>1.0368718750000001</v>
      </c>
      <c r="G10" s="146">
        <f t="shared" si="2"/>
        <v>-8.2906875000000158E-2</v>
      </c>
      <c r="H10" s="153">
        <f>Contributions!G10/1000000</f>
        <v>1.0547257800000001</v>
      </c>
      <c r="I10" s="154">
        <f>SUMIF('Project Status'!G:G,'Shared Building Allocation'!A10,'Project Status'!U:U)/1000000</f>
        <v>9.3940039999999989E-2</v>
      </c>
      <c r="J10" s="145">
        <f>-I22/1000000</f>
        <v>1.540336E-3</v>
      </c>
      <c r="K10" s="154">
        <f t="shared" si="0"/>
        <v>9.5480375999999992E-2</v>
      </c>
      <c r="L10" s="146">
        <f t="shared" si="3"/>
        <v>0.95924540400000002</v>
      </c>
    </row>
    <row r="11" spans="1:12" x14ac:dyDescent="0.4">
      <c r="A11" t="s">
        <v>200</v>
      </c>
      <c r="B11" s="21">
        <f>Contributions!B11</f>
        <v>106166.70000000001</v>
      </c>
      <c r="C11" s="143">
        <f>Contributions!C11/1000000</f>
        <v>0.36168299999999998</v>
      </c>
      <c r="D11" s="144">
        <f>SUMIF('Project Status'!G:G,'Shared Building Allocation'!A11,'Project Status'!R:R)/1000000</f>
        <v>4.8999999999999998E-3</v>
      </c>
      <c r="E11" s="145"/>
      <c r="F11" s="144">
        <f t="shared" si="1"/>
        <v>4.8999999999999998E-3</v>
      </c>
      <c r="G11" s="146">
        <f t="shared" si="2"/>
        <v>0.35678299999999996</v>
      </c>
      <c r="H11" s="153">
        <f>Contributions!G11/1000000</f>
        <v>0.41981162</v>
      </c>
      <c r="I11" s="154">
        <f>SUMIF('Project Status'!G:G,'Shared Building Allocation'!A11,'Project Status'!U:U)/1000000</f>
        <v>0.25595699999999999</v>
      </c>
      <c r="J11" s="145"/>
      <c r="K11" s="154">
        <f t="shared" si="0"/>
        <v>0.25595699999999999</v>
      </c>
      <c r="L11" s="146">
        <f t="shared" si="3"/>
        <v>0.16385462000000001</v>
      </c>
    </row>
    <row r="12" spans="1:12" x14ac:dyDescent="0.4">
      <c r="A12" t="s">
        <v>195</v>
      </c>
      <c r="B12" s="21">
        <f>Contributions!B12</f>
        <v>59008.361666666671</v>
      </c>
      <c r="C12" s="143">
        <f>Contributions!C12/1000000</f>
        <v>0.20102700000000001</v>
      </c>
      <c r="D12" s="144">
        <f>SUMIF('Project Status'!G:G,'Shared Building Allocation'!A12,'Project Status'!R:R)/1000000</f>
        <v>0.3</v>
      </c>
      <c r="E12" s="145"/>
      <c r="F12" s="144">
        <f t="shared" si="1"/>
        <v>0.3</v>
      </c>
      <c r="G12" s="146">
        <f t="shared" si="2"/>
        <v>-9.8972999999999978E-2</v>
      </c>
      <c r="H12" s="153">
        <f>Contributions!G12/1000000</f>
        <v>0.39358580000000004</v>
      </c>
      <c r="I12" s="154">
        <f>SUMIF('Project Status'!G:G,'Shared Building Allocation'!A12,'Project Status'!U:U)/1000000</f>
        <v>0</v>
      </c>
      <c r="J12" s="145"/>
      <c r="K12" s="154">
        <f t="shared" si="0"/>
        <v>0</v>
      </c>
      <c r="L12" s="146">
        <f t="shared" si="3"/>
        <v>0.39358580000000004</v>
      </c>
    </row>
    <row r="13" spans="1:12" x14ac:dyDescent="0.4">
      <c r="A13" t="s">
        <v>202</v>
      </c>
      <c r="B13" s="21">
        <f>Contributions!B13</f>
        <v>390796.88477064227</v>
      </c>
      <c r="C13" s="143">
        <f>Contributions!C13/1000000</f>
        <v>1.3313459999999999</v>
      </c>
      <c r="D13" s="144">
        <f>SUMIF('Project Status'!G:G,'Shared Building Allocation'!A13,'Project Status'!R:R)/1000000</f>
        <v>2.9494377599999999</v>
      </c>
      <c r="E13" s="145"/>
      <c r="F13" s="144">
        <f t="shared" si="1"/>
        <v>2.9494377599999999</v>
      </c>
      <c r="G13" s="146">
        <f t="shared" si="2"/>
        <v>-1.61809176</v>
      </c>
      <c r="H13" s="153">
        <f>Contributions!G13/1000000</f>
        <v>1.57264801</v>
      </c>
      <c r="I13" s="154">
        <f>SUMIF('Project Status'!G:G,'Shared Building Allocation'!A13,'Project Status'!U:U)/1000000</f>
        <v>2.1371000000000001E-2</v>
      </c>
      <c r="J13" s="145"/>
      <c r="K13" s="154">
        <f t="shared" si="0"/>
        <v>2.1371000000000001E-2</v>
      </c>
      <c r="L13" s="146">
        <f t="shared" si="3"/>
        <v>1.55127701</v>
      </c>
    </row>
    <row r="14" spans="1:12" ht="15" thickBot="1" x14ac:dyDescent="0.45">
      <c r="A14" s="24"/>
      <c r="B14" s="24">
        <v>2748810.0535201132</v>
      </c>
      <c r="C14" s="147">
        <f>SUM(C5:C13)</f>
        <v>9.3644990000000004</v>
      </c>
      <c r="D14" s="148">
        <f>SUM(D5:D13)</f>
        <v>8.7972862599999999</v>
      </c>
      <c r="E14" s="149"/>
      <c r="F14" s="148">
        <f>SUM(F5:F13)</f>
        <v>8.7972862599999999</v>
      </c>
      <c r="G14" s="150">
        <f>SUM(G5:G13)</f>
        <v>0.56721273999999955</v>
      </c>
      <c r="H14" s="155">
        <f>SUM(H5:H13)</f>
        <v>11.02928329</v>
      </c>
      <c r="I14" s="156">
        <f>SUM(I5:I13)</f>
        <v>10.414753039999999</v>
      </c>
      <c r="J14" s="149"/>
      <c r="K14" s="156">
        <f>SUM(K5:K13)</f>
        <v>10.414753040000001</v>
      </c>
      <c r="L14" s="150">
        <f>SUM(L5:L13)</f>
        <v>0.61453024999999983</v>
      </c>
    </row>
    <row r="18" spans="1:9" x14ac:dyDescent="0.4">
      <c r="A18" s="20" t="s">
        <v>118</v>
      </c>
    </row>
    <row r="19" spans="1:9" s="20" customFormat="1" x14ac:dyDescent="0.4">
      <c r="D19" s="30" t="s">
        <v>316</v>
      </c>
      <c r="I19" s="30" t="s">
        <v>317</v>
      </c>
    </row>
    <row r="20" spans="1:9" s="20" customFormat="1" x14ac:dyDescent="0.4">
      <c r="C20" s="50" t="s">
        <v>147</v>
      </c>
      <c r="D20" s="31">
        <f>SUMIF('Project Status'!H:H,'Shared Building Allocation'!C20,'Project Status'!R:R)</f>
        <v>1595187.5</v>
      </c>
      <c r="I20" s="31">
        <f>SUMIF('Project Status'!H:H,'Shared Building Allocation'!C20,'Project Status'!U:U)</f>
        <v>-4400.96</v>
      </c>
    </row>
    <row r="21" spans="1:9" s="20" customFormat="1" ht="6.45" customHeight="1" x14ac:dyDescent="0.4">
      <c r="D21" s="31"/>
      <c r="I21" s="31"/>
    </row>
    <row r="22" spans="1:9" s="20" customFormat="1" x14ac:dyDescent="0.4">
      <c r="C22" s="33" t="s">
        <v>120</v>
      </c>
      <c r="D22" s="31">
        <f>D20*0.35</f>
        <v>558315.625</v>
      </c>
      <c r="I22" s="31">
        <f>I20*0.35</f>
        <v>-1540.336</v>
      </c>
    </row>
    <row r="23" spans="1:9" s="20" customFormat="1" x14ac:dyDescent="0.4">
      <c r="C23" s="33" t="s">
        <v>121</v>
      </c>
      <c r="D23" s="31">
        <f>D20*0.65</f>
        <v>1036871.875</v>
      </c>
      <c r="I23" s="31">
        <f>I20*0.65</f>
        <v>-2860.6240000000003</v>
      </c>
    </row>
    <row r="24" spans="1:9" s="20" customFormat="1" x14ac:dyDescent="0.4">
      <c r="D24" s="32">
        <f>SUM(D22:D23)</f>
        <v>1595187.5</v>
      </c>
      <c r="I24" s="32">
        <f>SUM(I22:I23)</f>
        <v>-4400.96</v>
      </c>
    </row>
    <row r="25" spans="1:9" s="20" customFormat="1" x14ac:dyDescent="0.4"/>
  </sheetData>
  <pageMargins left="0.7" right="0.7" top="0.75" bottom="0.75" header="0.3" footer="0.3"/>
  <pageSetup orientation="landscape" horizontalDpi="4294967295" verticalDpi="4294967295"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M24"/>
  <sheetViews>
    <sheetView zoomScaleNormal="100" workbookViewId="0">
      <selection activeCell="K19" sqref="K19"/>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 min="9" max="9" width="21.15234375" bestFit="1" customWidth="1"/>
    <col min="10" max="10" width="12" bestFit="1" customWidth="1"/>
    <col min="11" max="11" width="13.53515625" bestFit="1" customWidth="1"/>
  </cols>
  <sheetData>
    <row r="1" spans="1:13" s="8" customFormat="1" x14ac:dyDescent="0.4">
      <c r="A1" s="10" t="s">
        <v>208</v>
      </c>
      <c r="E1" s="10" t="s">
        <v>207</v>
      </c>
      <c r="I1" s="10" t="s">
        <v>340</v>
      </c>
    </row>
    <row r="2" spans="1:13" s="8" customFormat="1" x14ac:dyDescent="0.4">
      <c r="A2" s="20"/>
      <c r="B2" s="35"/>
      <c r="E2" s="20"/>
      <c r="F2" s="35"/>
      <c r="I2" s="20"/>
      <c r="J2" s="35"/>
    </row>
    <row r="3" spans="1:13" ht="14.7" customHeight="1" x14ac:dyDescent="0.4">
      <c r="A3" s="8"/>
      <c r="C3" s="12">
        <v>3.41</v>
      </c>
      <c r="E3" s="8"/>
      <c r="G3" s="12">
        <v>3.97</v>
      </c>
      <c r="I3" s="8"/>
      <c r="K3" s="12">
        <v>4.54</v>
      </c>
      <c r="L3" s="96"/>
    </row>
    <row r="4" spans="1:13" x14ac:dyDescent="0.4">
      <c r="A4" s="13" t="s">
        <v>86</v>
      </c>
      <c r="B4" s="14" t="s">
        <v>99</v>
      </c>
      <c r="C4" s="14" t="s">
        <v>88</v>
      </c>
      <c r="E4" s="13" t="s">
        <v>86</v>
      </c>
      <c r="F4" s="14" t="s">
        <v>99</v>
      </c>
      <c r="G4" s="14" t="s">
        <v>88</v>
      </c>
      <c r="I4" s="13" t="s">
        <v>86</v>
      </c>
      <c r="J4" s="14" t="s">
        <v>99</v>
      </c>
      <c r="K4" s="14" t="s">
        <v>88</v>
      </c>
    </row>
    <row r="5" spans="1:13" x14ac:dyDescent="0.4">
      <c r="A5" t="s">
        <v>194</v>
      </c>
      <c r="B5" s="15">
        <v>1075461.7320675128</v>
      </c>
      <c r="C5" s="16">
        <v>3663826</v>
      </c>
      <c r="E5" t="s">
        <v>194</v>
      </c>
      <c r="F5" s="15">
        <v>1059147</v>
      </c>
      <c r="G5" s="16">
        <f>F5*$G$3</f>
        <v>4204813.59</v>
      </c>
      <c r="I5" t="s">
        <v>194</v>
      </c>
      <c r="J5" s="15">
        <v>1074720.0751011034</v>
      </c>
      <c r="K5" s="16">
        <f>J5*$K$3</f>
        <v>4879229.1409590095</v>
      </c>
      <c r="M5" s="44"/>
    </row>
    <row r="6" spans="1:13" x14ac:dyDescent="0.4">
      <c r="A6" t="s">
        <v>196</v>
      </c>
      <c r="B6" s="15">
        <v>121421.42689276834</v>
      </c>
      <c r="C6" s="16">
        <v>413652</v>
      </c>
      <c r="E6" t="s">
        <v>196</v>
      </c>
      <c r="F6" s="15">
        <v>121421</v>
      </c>
      <c r="G6" s="16">
        <f t="shared" ref="G6:G13" si="0">F6*$G$3</f>
        <v>482041.37</v>
      </c>
      <c r="I6" t="s">
        <v>196</v>
      </c>
      <c r="J6" s="15">
        <v>132408.79114461056</v>
      </c>
      <c r="K6" s="16">
        <f t="shared" ref="K6:K13" si="1">J6*$K$3</f>
        <v>601135.91179653199</v>
      </c>
      <c r="M6" s="44"/>
    </row>
    <row r="7" spans="1:13" x14ac:dyDescent="0.4">
      <c r="A7" t="s">
        <v>197</v>
      </c>
      <c r="B7" s="15">
        <v>57814.730923479161</v>
      </c>
      <c r="C7" s="16">
        <v>196960</v>
      </c>
      <c r="E7" t="s">
        <v>197</v>
      </c>
      <c r="F7" s="15">
        <v>58263</v>
      </c>
      <c r="G7" s="16">
        <f t="shared" si="0"/>
        <v>231304.11000000002</v>
      </c>
      <c r="I7" t="s">
        <v>197</v>
      </c>
      <c r="J7" s="15">
        <v>58263.192463850428</v>
      </c>
      <c r="K7" s="16">
        <f t="shared" si="1"/>
        <v>264514.89378588094</v>
      </c>
      <c r="M7" s="44"/>
    </row>
    <row r="8" spans="1:13" x14ac:dyDescent="0.4">
      <c r="A8" t="s">
        <v>198</v>
      </c>
      <c r="B8" s="15">
        <v>537962.332719445</v>
      </c>
      <c r="C8" s="16">
        <v>1832701</v>
      </c>
      <c r="E8" t="s">
        <v>198</v>
      </c>
      <c r="F8" s="15">
        <v>552478</v>
      </c>
      <c r="G8" s="16">
        <f t="shared" si="0"/>
        <v>2193337.66</v>
      </c>
      <c r="I8" t="s">
        <v>198</v>
      </c>
      <c r="J8" s="15">
        <v>548364.43485711806</v>
      </c>
      <c r="K8" s="16">
        <f t="shared" si="1"/>
        <v>2489574.534251316</v>
      </c>
      <c r="M8" s="44"/>
    </row>
    <row r="9" spans="1:13" x14ac:dyDescent="0.4">
      <c r="A9" t="s">
        <v>199</v>
      </c>
      <c r="B9" s="15">
        <v>120155.48460329951</v>
      </c>
      <c r="C9" s="16">
        <v>409339</v>
      </c>
      <c r="E9" t="s">
        <v>199</v>
      </c>
      <c r="F9" s="15">
        <v>120155</v>
      </c>
      <c r="G9" s="16">
        <f t="shared" si="0"/>
        <v>477015.35000000003</v>
      </c>
      <c r="I9" t="s">
        <v>199</v>
      </c>
      <c r="J9" s="15">
        <v>119265.35530160108</v>
      </c>
      <c r="K9" s="16">
        <f t="shared" si="1"/>
        <v>541464.71306926897</v>
      </c>
      <c r="M9" s="44"/>
    </row>
    <row r="10" spans="1:13" x14ac:dyDescent="0.4">
      <c r="A10" t="s">
        <v>201</v>
      </c>
      <c r="B10" s="15">
        <v>280022.39987629937</v>
      </c>
      <c r="C10" s="16">
        <v>953965</v>
      </c>
      <c r="E10" t="s">
        <v>201</v>
      </c>
      <c r="F10" s="15">
        <v>265674</v>
      </c>
      <c r="G10" s="16">
        <f t="shared" si="0"/>
        <v>1054725.78</v>
      </c>
      <c r="I10" t="s">
        <v>201</v>
      </c>
      <c r="J10" s="15">
        <v>315635.41302808712</v>
      </c>
      <c r="K10" s="16">
        <f t="shared" si="1"/>
        <v>1432984.7751475156</v>
      </c>
      <c r="M10" s="44"/>
    </row>
    <row r="11" spans="1:13" x14ac:dyDescent="0.4">
      <c r="A11" t="s">
        <v>200</v>
      </c>
      <c r="B11" s="15">
        <v>106166.70000000001</v>
      </c>
      <c r="C11" s="16">
        <v>361683</v>
      </c>
      <c r="E11" t="s">
        <v>200</v>
      </c>
      <c r="F11" s="15">
        <v>105746</v>
      </c>
      <c r="G11" s="16">
        <f t="shared" si="0"/>
        <v>419811.62</v>
      </c>
      <c r="I11" t="s">
        <v>200</v>
      </c>
      <c r="J11" s="15">
        <v>105746.41</v>
      </c>
      <c r="K11" s="16">
        <f t="shared" si="1"/>
        <v>480088.70140000002</v>
      </c>
      <c r="M11" s="44"/>
    </row>
    <row r="12" spans="1:13" x14ac:dyDescent="0.4">
      <c r="A12" t="s">
        <v>195</v>
      </c>
      <c r="B12" s="15">
        <v>59008.361666666671</v>
      </c>
      <c r="C12" s="16">
        <v>201027</v>
      </c>
      <c r="E12" t="s">
        <v>195</v>
      </c>
      <c r="F12" s="15">
        <v>99140</v>
      </c>
      <c r="G12" s="16">
        <f t="shared" si="0"/>
        <v>393585.80000000005</v>
      </c>
      <c r="I12" t="s">
        <v>195</v>
      </c>
      <c r="J12" s="15">
        <v>99598.392846122995</v>
      </c>
      <c r="K12" s="16">
        <f t="shared" si="1"/>
        <v>452176.70352139842</v>
      </c>
      <c r="M12" s="44"/>
    </row>
    <row r="13" spans="1:13" x14ac:dyDescent="0.4">
      <c r="A13" t="s">
        <v>202</v>
      </c>
      <c r="B13" s="15">
        <v>390796.88477064227</v>
      </c>
      <c r="C13" s="16">
        <v>1331346</v>
      </c>
      <c r="E13" t="s">
        <v>202</v>
      </c>
      <c r="F13" s="15">
        <v>396133</v>
      </c>
      <c r="G13" s="16">
        <f t="shared" si="0"/>
        <v>1572648.01</v>
      </c>
      <c r="I13" t="s">
        <v>202</v>
      </c>
      <c r="J13" s="15">
        <v>377998.91813531332</v>
      </c>
      <c r="K13" s="16">
        <f t="shared" si="1"/>
        <v>1716115.0883343224</v>
      </c>
      <c r="M13" s="44"/>
    </row>
    <row r="14" spans="1:13" ht="15" thickBot="1" x14ac:dyDescent="0.45">
      <c r="A14" s="8"/>
      <c r="B14" s="17">
        <f>SUM(B5:B13)</f>
        <v>2748810.0535201132</v>
      </c>
      <c r="C14" s="18">
        <f>SUM(C5:C13)</f>
        <v>9364499</v>
      </c>
      <c r="E14" s="8"/>
      <c r="F14" s="17">
        <f>SUM(F5:F13)</f>
        <v>2778157</v>
      </c>
      <c r="G14" s="18">
        <f>SUM(G5:G13)</f>
        <v>11029283.289999999</v>
      </c>
      <c r="I14" s="8"/>
      <c r="J14" s="17">
        <f>SUM(J5:J13)</f>
        <v>2832000.9828778072</v>
      </c>
      <c r="K14" s="18">
        <f>SUM(K5:K13)</f>
        <v>12857284.462265246</v>
      </c>
      <c r="M14" s="44"/>
    </row>
    <row r="15" spans="1:13" x14ac:dyDescent="0.4">
      <c r="M15" s="44"/>
    </row>
    <row r="17" spans="1:11" x14ac:dyDescent="0.4">
      <c r="A17" t="s">
        <v>88</v>
      </c>
      <c r="C17" s="36">
        <f>C14</f>
        <v>9364499</v>
      </c>
      <c r="E17" t="s">
        <v>88</v>
      </c>
      <c r="G17" s="36">
        <f>G14</f>
        <v>11029283.289999999</v>
      </c>
      <c r="I17" t="s">
        <v>88</v>
      </c>
      <c r="K17" s="36">
        <f>K14</f>
        <v>12857284.462265246</v>
      </c>
    </row>
    <row r="18" spans="1:11" x14ac:dyDescent="0.4">
      <c r="A18" t="s">
        <v>209</v>
      </c>
      <c r="C18" s="36">
        <f>'Project Status'!U47</f>
        <v>10414753.039999999</v>
      </c>
      <c r="E18" t="s">
        <v>209</v>
      </c>
      <c r="G18" s="36">
        <f>'Project Status'!T47</f>
        <v>2824341</v>
      </c>
      <c r="I18" t="s">
        <v>209</v>
      </c>
      <c r="K18" s="36">
        <f>'Project Status'!Y47</f>
        <v>0</v>
      </c>
    </row>
    <row r="19" spans="1:11" ht="15" thickBot="1" x14ac:dyDescent="0.45">
      <c r="A19" t="s">
        <v>123</v>
      </c>
      <c r="C19" s="76">
        <f>C17-C18</f>
        <v>-1050254.0399999991</v>
      </c>
      <c r="E19" t="s">
        <v>123</v>
      </c>
      <c r="G19" s="76">
        <f>G17-G18</f>
        <v>8204942.2899999991</v>
      </c>
      <c r="I19" t="s">
        <v>123</v>
      </c>
      <c r="K19" s="76">
        <f>K17-K18</f>
        <v>12857284.462265246</v>
      </c>
    </row>
    <row r="24" spans="1:11" x14ac:dyDescent="0.4">
      <c r="A24" s="19"/>
      <c r="E24" s="19"/>
      <c r="I24" s="1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Y92"/>
  <sheetViews>
    <sheetView tabSelected="1" zoomScale="90" zoomScaleNormal="90" workbookViewId="0">
      <pane ySplit="3" topLeftCell="A28" activePane="bottomLeft" state="frozen"/>
      <selection pane="bottomLeft" activeCell="U47" sqref="U47"/>
    </sheetView>
  </sheetViews>
  <sheetFormatPr defaultColWidth="9.15234375" defaultRowHeight="14.6" outlineLevelRow="1" outlineLevelCol="1" x14ac:dyDescent="0.4"/>
  <cols>
    <col min="1" max="1" width="4.53515625" style="86" customWidth="1"/>
    <col min="2" max="2" width="11.69140625" style="86" hidden="1" customWidth="1" outlineLevel="1"/>
    <col min="3" max="3" width="8.53515625" style="86" customWidth="1" collapsed="1"/>
    <col min="4" max="4" width="6.3046875" style="86" hidden="1" customWidth="1" outlineLevel="1"/>
    <col min="5" max="5" width="10.3046875" style="86" hidden="1" customWidth="1" outlineLevel="1"/>
    <col min="6" max="6" width="37.53515625" style="86" hidden="1" customWidth="1" outlineLevel="1"/>
    <col min="7" max="7" width="17.3828125" style="86" hidden="1" customWidth="1" outlineLevel="1"/>
    <col min="8" max="8" width="28" style="86" hidden="1" customWidth="1" outlineLevel="1"/>
    <col min="9" max="9" width="59.15234375" style="86" bestFit="1" customWidth="1" collapsed="1"/>
    <col min="10" max="10" width="32.15234375" style="86" bestFit="1" customWidth="1"/>
    <col min="11" max="11" width="21.84375" style="86" bestFit="1" customWidth="1"/>
    <col min="12" max="12" width="15" style="112" customWidth="1"/>
    <col min="13" max="16" width="15" style="112" hidden="1" customWidth="1" outlineLevel="1"/>
    <col min="17" max="17" width="15" style="112" customWidth="1" collapsed="1"/>
    <col min="18" max="23" width="15" style="112" customWidth="1"/>
    <col min="24" max="24" width="116.53515625" style="86" customWidth="1"/>
    <col min="25" max="25" width="9.15234375" style="253"/>
    <col min="26" max="16384" width="9.15234375" style="86"/>
  </cols>
  <sheetData>
    <row r="1" spans="1:25" x14ac:dyDescent="0.4">
      <c r="A1" s="84" t="s">
        <v>192</v>
      </c>
      <c r="R1" s="167" t="s">
        <v>277</v>
      </c>
      <c r="U1" s="207" t="s">
        <v>321</v>
      </c>
    </row>
    <row r="2" spans="1:25" x14ac:dyDescent="0.4">
      <c r="A2" s="87"/>
      <c r="E2" s="88"/>
      <c r="F2" s="89"/>
      <c r="G2" s="89"/>
    </row>
    <row r="3" spans="1:25" s="85" customFormat="1" ht="29.15" x14ac:dyDescent="0.4">
      <c r="A3" s="9"/>
      <c r="B3" s="9" t="s">
        <v>229</v>
      </c>
      <c r="C3" s="9" t="s">
        <v>125</v>
      </c>
      <c r="D3" s="9" t="s">
        <v>126</v>
      </c>
      <c r="E3" s="9" t="s">
        <v>127</v>
      </c>
      <c r="F3" s="90" t="s">
        <v>86</v>
      </c>
      <c r="G3" s="90" t="s">
        <v>203</v>
      </c>
      <c r="H3" s="90" t="s">
        <v>114</v>
      </c>
      <c r="I3" s="90" t="s">
        <v>87</v>
      </c>
      <c r="J3" s="9" t="s">
        <v>128</v>
      </c>
      <c r="K3" s="9" t="s">
        <v>129</v>
      </c>
      <c r="L3" s="113" t="s">
        <v>133</v>
      </c>
      <c r="M3" s="114" t="s">
        <v>130</v>
      </c>
      <c r="N3" s="114" t="s">
        <v>131</v>
      </c>
      <c r="O3" s="114" t="s">
        <v>132</v>
      </c>
      <c r="P3" s="114" t="s">
        <v>223</v>
      </c>
      <c r="Q3" s="113" t="s">
        <v>423</v>
      </c>
      <c r="R3" s="115" t="s">
        <v>244</v>
      </c>
      <c r="S3" s="123" t="s">
        <v>312</v>
      </c>
      <c r="T3" s="123" t="s">
        <v>246</v>
      </c>
      <c r="U3" s="199" t="s">
        <v>311</v>
      </c>
      <c r="V3" s="168" t="s">
        <v>278</v>
      </c>
      <c r="W3" s="228" t="s">
        <v>355</v>
      </c>
      <c r="X3" s="9" t="s">
        <v>183</v>
      </c>
      <c r="Y3" s="227" t="s">
        <v>354</v>
      </c>
    </row>
    <row r="4" spans="1:25" s="245" customFormat="1" hidden="1" outlineLevel="1" x14ac:dyDescent="0.4">
      <c r="A4" s="233">
        <v>1</v>
      </c>
      <c r="B4" s="234" t="s">
        <v>90</v>
      </c>
      <c r="C4" s="235">
        <v>10085</v>
      </c>
      <c r="D4" s="234">
        <v>4591</v>
      </c>
      <c r="E4" s="234"/>
      <c r="F4" s="234" t="s">
        <v>28</v>
      </c>
      <c r="G4" s="236" t="str">
        <f>VLOOKUP(F4,lookup!B:C,2,FALSE)</f>
        <v>Peabody</v>
      </c>
      <c r="H4" s="234" t="s">
        <v>358</v>
      </c>
      <c r="I4" s="234" t="s">
        <v>108</v>
      </c>
      <c r="J4" s="234" t="s">
        <v>325</v>
      </c>
      <c r="K4" s="234" t="s">
        <v>156</v>
      </c>
      <c r="L4" s="237">
        <v>17500</v>
      </c>
      <c r="M4" s="238">
        <v>22000</v>
      </c>
      <c r="N4" s="238">
        <v>17500</v>
      </c>
      <c r="O4" s="238">
        <v>17500</v>
      </c>
      <c r="P4" s="238">
        <v>17500</v>
      </c>
      <c r="Q4" s="237">
        <v>0</v>
      </c>
      <c r="R4" s="239">
        <f>'10085'!H18</f>
        <v>17500</v>
      </c>
      <c r="S4" s="240">
        <v>0</v>
      </c>
      <c r="T4" s="240">
        <v>0</v>
      </c>
      <c r="U4" s="241">
        <f>SUM(S4:T4)</f>
        <v>0</v>
      </c>
      <c r="V4" s="242">
        <v>0</v>
      </c>
      <c r="W4" s="243">
        <v>0</v>
      </c>
      <c r="X4" s="244" t="s">
        <v>270</v>
      </c>
      <c r="Y4" s="254">
        <f>VLOOKUP(C4,'Summary_by FY'!$C$1:$C$997,1,FALSE)</f>
        <v>10085</v>
      </c>
    </row>
    <row r="5" spans="1:25" s="245" customFormat="1" hidden="1" outlineLevel="1" x14ac:dyDescent="0.4">
      <c r="A5" s="233">
        <f>A4+1</f>
        <v>2</v>
      </c>
      <c r="B5" s="234" t="s">
        <v>89</v>
      </c>
      <c r="C5" s="235">
        <v>10098</v>
      </c>
      <c r="D5" s="234">
        <v>1627</v>
      </c>
      <c r="E5" s="234" t="s">
        <v>110</v>
      </c>
      <c r="F5" s="234" t="s">
        <v>21</v>
      </c>
      <c r="G5" s="236" t="str">
        <f>VLOOKUP(F5,lookup!B:C,2,FALSE)</f>
        <v>SOM Basic Sciences</v>
      </c>
      <c r="H5" s="234" t="s">
        <v>147</v>
      </c>
      <c r="I5" s="234" t="s">
        <v>299</v>
      </c>
      <c r="J5" s="234" t="s">
        <v>269</v>
      </c>
      <c r="K5" s="234" t="s">
        <v>151</v>
      </c>
      <c r="L5" s="237">
        <v>1216485.5</v>
      </c>
      <c r="M5" s="238">
        <v>1216485.5</v>
      </c>
      <c r="N5" s="238">
        <v>1212084.54</v>
      </c>
      <c r="O5" s="238">
        <v>1212084.54</v>
      </c>
      <c r="P5" s="238">
        <v>1212084.54</v>
      </c>
      <c r="Q5" s="237">
        <v>0</v>
      </c>
      <c r="R5" s="239">
        <f>'10098'!H9</f>
        <v>1216485.5</v>
      </c>
      <c r="S5" s="240">
        <f>'10098'!H10</f>
        <v>-4400.96</v>
      </c>
      <c r="T5" s="240">
        <v>0</v>
      </c>
      <c r="U5" s="241">
        <f t="shared" ref="U5:U35" si="0">SUM(S5:T5)</f>
        <v>-4400.96</v>
      </c>
      <c r="V5" s="242">
        <v>0</v>
      </c>
      <c r="W5" s="243">
        <v>0</v>
      </c>
      <c r="X5" s="244" t="s">
        <v>335</v>
      </c>
      <c r="Y5" s="254">
        <f>VLOOKUP(C5,'Summary_by FY'!$C$1:$C$997,1,FALSE)</f>
        <v>10098</v>
      </c>
    </row>
    <row r="6" spans="1:25" s="100" customFormat="1" collapsed="1" x14ac:dyDescent="0.4">
      <c r="A6" s="103">
        <f t="shared" ref="A6:A46" si="1">A5+1</f>
        <v>3</v>
      </c>
      <c r="B6" s="101" t="s">
        <v>89</v>
      </c>
      <c r="C6" s="208">
        <v>10146</v>
      </c>
      <c r="D6" s="101">
        <v>4418</v>
      </c>
      <c r="E6" s="101" t="s">
        <v>176</v>
      </c>
      <c r="F6" s="101" t="s">
        <v>177</v>
      </c>
      <c r="G6" s="102" t="str">
        <f>VLOOKUP(F6,lookup!B:C,2,FALSE)</f>
        <v>Nursing</v>
      </c>
      <c r="H6" s="101" t="s">
        <v>362</v>
      </c>
      <c r="I6" s="101" t="s">
        <v>280</v>
      </c>
      <c r="J6" s="101" t="s">
        <v>178</v>
      </c>
      <c r="K6" s="101" t="s">
        <v>156</v>
      </c>
      <c r="L6" s="116">
        <v>0</v>
      </c>
      <c r="M6" s="117">
        <v>318057</v>
      </c>
      <c r="N6" s="117">
        <v>73600</v>
      </c>
      <c r="O6" s="117">
        <v>228355.7</v>
      </c>
      <c r="P6" s="117">
        <v>62100</v>
      </c>
      <c r="Q6" s="116">
        <v>0</v>
      </c>
      <c r="R6" s="118">
        <f>'10146'!H9</f>
        <v>4900</v>
      </c>
      <c r="S6" s="124">
        <f>'10146'!H15</f>
        <v>255957</v>
      </c>
      <c r="T6" s="124">
        <v>0</v>
      </c>
      <c r="U6" s="200">
        <f>SUM(S6:T6)</f>
        <v>255957</v>
      </c>
      <c r="V6" s="169">
        <v>0</v>
      </c>
      <c r="W6" s="229">
        <v>0</v>
      </c>
      <c r="X6" t="s">
        <v>394</v>
      </c>
      <c r="Y6" s="253">
        <f>VLOOKUP(C6,'Summary_by FY'!$C$1:$C$997,1,FALSE)</f>
        <v>10146</v>
      </c>
    </row>
    <row r="7" spans="1:25" s="100" customFormat="1" x14ac:dyDescent="0.4">
      <c r="A7" s="103">
        <f t="shared" si="1"/>
        <v>4</v>
      </c>
      <c r="B7" s="101" t="s">
        <v>89</v>
      </c>
      <c r="C7" s="208">
        <v>20179</v>
      </c>
      <c r="D7" s="101">
        <v>36015</v>
      </c>
      <c r="E7" s="101" t="s">
        <v>104</v>
      </c>
      <c r="F7" s="101" t="s">
        <v>154</v>
      </c>
      <c r="G7" s="102" t="str">
        <f>VLOOKUP(F7,lookup!B:C,2,FALSE)</f>
        <v>Law</v>
      </c>
      <c r="H7" s="101" t="s">
        <v>282</v>
      </c>
      <c r="I7" s="101" t="s">
        <v>281</v>
      </c>
      <c r="J7" s="101" t="s">
        <v>300</v>
      </c>
      <c r="K7" s="101" t="s">
        <v>155</v>
      </c>
      <c r="L7" s="116">
        <v>1445389</v>
      </c>
      <c r="M7" s="117">
        <v>1445389</v>
      </c>
      <c r="N7" s="117">
        <v>1352423.14</v>
      </c>
      <c r="O7" s="117">
        <v>1352423.14</v>
      </c>
      <c r="P7" s="117">
        <v>1352423.14</v>
      </c>
      <c r="Q7" s="212">
        <v>92965.86</v>
      </c>
      <c r="R7" s="118">
        <f>'20179'!H9</f>
        <v>722694.5</v>
      </c>
      <c r="S7" s="124">
        <v>0</v>
      </c>
      <c r="T7" s="124">
        <v>0</v>
      </c>
      <c r="U7" s="200">
        <f t="shared" si="0"/>
        <v>0</v>
      </c>
      <c r="V7" s="169">
        <v>0</v>
      </c>
      <c r="W7" s="229">
        <v>0</v>
      </c>
      <c r="X7" t="s">
        <v>395</v>
      </c>
      <c r="Y7" s="253">
        <f>VLOOKUP(C7,'Summary_by FY'!$C$1:$C$997,1,FALSE)</f>
        <v>20179</v>
      </c>
    </row>
    <row r="8" spans="1:25" s="100" customFormat="1" x14ac:dyDescent="0.4">
      <c r="A8" s="103">
        <f t="shared" si="1"/>
        <v>5</v>
      </c>
      <c r="B8" s="101" t="s">
        <v>89</v>
      </c>
      <c r="C8" s="208">
        <v>20336</v>
      </c>
      <c r="D8" s="101">
        <v>20075</v>
      </c>
      <c r="E8" s="101" t="s">
        <v>102</v>
      </c>
      <c r="F8" s="101" t="s">
        <v>12</v>
      </c>
      <c r="G8" s="102" t="str">
        <f>VLOOKUP(F8,lookup!B:C,2,FALSE)</f>
        <v>Blair</v>
      </c>
      <c r="H8" s="101" t="s">
        <v>150</v>
      </c>
      <c r="I8" s="101" t="s">
        <v>187</v>
      </c>
      <c r="J8" s="101" t="s">
        <v>300</v>
      </c>
      <c r="K8" s="101" t="s">
        <v>149</v>
      </c>
      <c r="L8" s="116">
        <v>327890</v>
      </c>
      <c r="M8" s="117">
        <v>327890</v>
      </c>
      <c r="N8" s="117">
        <v>280600</v>
      </c>
      <c r="O8" s="117">
        <v>280600</v>
      </c>
      <c r="P8" s="117">
        <v>280600</v>
      </c>
      <c r="Q8" s="212">
        <v>47290</v>
      </c>
      <c r="R8" s="118">
        <f>'20336'!H18</f>
        <v>327890</v>
      </c>
      <c r="S8" s="124">
        <v>0</v>
      </c>
      <c r="T8" s="124">
        <v>0</v>
      </c>
      <c r="U8" s="200">
        <f t="shared" si="0"/>
        <v>0</v>
      </c>
      <c r="V8" s="169">
        <v>0</v>
      </c>
      <c r="W8" s="229">
        <v>0</v>
      </c>
      <c r="X8" t="s">
        <v>396</v>
      </c>
      <c r="Y8" s="253">
        <f>VLOOKUP(C8,'Summary_by FY'!$C$1:$C$997,1,FALSE)</f>
        <v>20336</v>
      </c>
    </row>
    <row r="9" spans="1:25" s="100" customFormat="1" x14ac:dyDescent="0.4">
      <c r="A9" s="103">
        <f t="shared" si="1"/>
        <v>6</v>
      </c>
      <c r="B9" s="101" t="s">
        <v>89</v>
      </c>
      <c r="C9" s="208">
        <v>20431</v>
      </c>
      <c r="D9" s="101">
        <v>8084</v>
      </c>
      <c r="E9" s="101" t="s">
        <v>103</v>
      </c>
      <c r="F9" s="101" t="s">
        <v>14</v>
      </c>
      <c r="G9" s="102" t="str">
        <f>VLOOKUP(F9,lookup!B:C,2,FALSE)</f>
        <v>Divinity</v>
      </c>
      <c r="H9" s="101" t="s">
        <v>152</v>
      </c>
      <c r="I9" s="101" t="s">
        <v>363</v>
      </c>
      <c r="J9" s="101" t="s">
        <v>101</v>
      </c>
      <c r="K9" s="101" t="s">
        <v>151</v>
      </c>
      <c r="L9" s="116">
        <v>3800000</v>
      </c>
      <c r="M9" s="117">
        <v>3800000</v>
      </c>
      <c r="N9" s="117">
        <v>3540067.72</v>
      </c>
      <c r="O9" s="117">
        <v>3540067.72</v>
      </c>
      <c r="P9" s="117">
        <v>123926.15</v>
      </c>
      <c r="Q9" s="116">
        <v>126060</v>
      </c>
      <c r="R9" s="118">
        <f>'20431'!H10+'20431'!H11+'20431'!H13</f>
        <v>69862.5</v>
      </c>
      <c r="S9" s="124">
        <f>'20431'!H15</f>
        <v>3660360</v>
      </c>
      <c r="T9" s="124">
        <v>0</v>
      </c>
      <c r="U9" s="200">
        <f t="shared" si="0"/>
        <v>3660360</v>
      </c>
      <c r="V9" s="169">
        <v>0</v>
      </c>
      <c r="W9" s="229">
        <v>0</v>
      </c>
      <c r="X9" t="s">
        <v>397</v>
      </c>
      <c r="Y9" s="253">
        <f>VLOOKUP(C9,'Summary_by FY'!$C$1:$C$997,1,FALSE)</f>
        <v>20431</v>
      </c>
    </row>
    <row r="10" spans="1:25" s="100" customFormat="1" x14ac:dyDescent="0.4">
      <c r="A10" s="103">
        <f t="shared" si="1"/>
        <v>7</v>
      </c>
      <c r="B10" s="101" t="s">
        <v>89</v>
      </c>
      <c r="C10" s="208">
        <v>20478</v>
      </c>
      <c r="D10" s="101">
        <v>8672</v>
      </c>
      <c r="E10" s="101" t="s">
        <v>235</v>
      </c>
      <c r="F10" s="101" t="s">
        <v>10</v>
      </c>
      <c r="G10" s="102" t="str">
        <f>VLOOKUP(F10,lookup!B:C,2,FALSE)</f>
        <v>Arts &amp; Science</v>
      </c>
      <c r="H10" s="101" t="s">
        <v>245</v>
      </c>
      <c r="I10" s="101" t="s">
        <v>236</v>
      </c>
      <c r="J10" s="101" t="s">
        <v>300</v>
      </c>
      <c r="K10" s="101" t="s">
        <v>237</v>
      </c>
      <c r="L10" s="116">
        <v>2790000</v>
      </c>
      <c r="M10" s="117">
        <v>2790000</v>
      </c>
      <c r="N10" s="117">
        <v>2467964.41</v>
      </c>
      <c r="O10" s="117">
        <v>2467964.41</v>
      </c>
      <c r="P10" s="117">
        <v>1164380.99</v>
      </c>
      <c r="Q10" s="116">
        <v>604000</v>
      </c>
      <c r="R10" s="118">
        <f>'20478'!H9+'20478'!H11</f>
        <v>81100</v>
      </c>
      <c r="S10" s="124">
        <f>'20478'!H13</f>
        <v>1028900</v>
      </c>
      <c r="T10" s="124">
        <v>0</v>
      </c>
      <c r="U10" s="200">
        <f t="shared" si="0"/>
        <v>1028900</v>
      </c>
      <c r="V10" s="169">
        <v>0</v>
      </c>
      <c r="W10" s="229">
        <v>0</v>
      </c>
      <c r="X10" t="s">
        <v>398</v>
      </c>
      <c r="Y10" s="253">
        <f>VLOOKUP(C10,'Summary_by FY'!$C$1:$C$997,1,FALSE)</f>
        <v>20478</v>
      </c>
    </row>
    <row r="11" spans="1:25" s="100" customFormat="1" x14ac:dyDescent="0.4">
      <c r="A11" s="103">
        <f t="shared" si="1"/>
        <v>8</v>
      </c>
      <c r="B11" s="101" t="s">
        <v>89</v>
      </c>
      <c r="C11" s="208">
        <v>20489</v>
      </c>
      <c r="D11" s="101">
        <v>8051</v>
      </c>
      <c r="E11" s="101" t="s">
        <v>238</v>
      </c>
      <c r="F11" s="101" t="s">
        <v>14</v>
      </c>
      <c r="G11" s="102" t="str">
        <f>VLOOKUP(F11,lookup!B:C,2,FALSE)</f>
        <v>Divinity</v>
      </c>
      <c r="H11" s="101" t="s">
        <v>152</v>
      </c>
      <c r="I11" s="101" t="s">
        <v>364</v>
      </c>
      <c r="J11" s="101" t="s">
        <v>267</v>
      </c>
      <c r="K11" s="101" t="s">
        <v>151</v>
      </c>
      <c r="L11" s="116">
        <v>4650000</v>
      </c>
      <c r="M11" s="117">
        <v>26500</v>
      </c>
      <c r="N11" s="117">
        <v>15895</v>
      </c>
      <c r="O11" s="117">
        <v>15895</v>
      </c>
      <c r="P11" s="117">
        <v>14407.5</v>
      </c>
      <c r="Q11" s="116">
        <v>3000</v>
      </c>
      <c r="R11" s="118">
        <f>'20489'!H9</f>
        <v>26500</v>
      </c>
      <c r="S11" s="124">
        <v>0</v>
      </c>
      <c r="T11" s="124">
        <v>0</v>
      </c>
      <c r="U11" s="200">
        <f t="shared" si="0"/>
        <v>0</v>
      </c>
      <c r="V11" s="169">
        <v>0</v>
      </c>
      <c r="W11" s="229">
        <f>4700000-1530000</f>
        <v>3170000</v>
      </c>
      <c r="X11" t="s">
        <v>368</v>
      </c>
      <c r="Y11" s="253">
        <f>VLOOKUP(C11,'Summary_by FY'!$C$1:$C$997,1,FALSE)</f>
        <v>20489</v>
      </c>
    </row>
    <row r="12" spans="1:25" s="245" customFormat="1" hidden="1" outlineLevel="1" x14ac:dyDescent="0.4">
      <c r="A12" s="233">
        <f t="shared" si="1"/>
        <v>9</v>
      </c>
      <c r="B12" s="234" t="s">
        <v>89</v>
      </c>
      <c r="C12" s="235">
        <v>20497</v>
      </c>
      <c r="D12" s="234">
        <v>529</v>
      </c>
      <c r="E12" s="234" t="s">
        <v>106</v>
      </c>
      <c r="F12" s="234" t="s">
        <v>28</v>
      </c>
      <c r="G12" s="236" t="str">
        <f>VLOOKUP(F12,lookup!B:C,2,FALSE)</f>
        <v>Peabody</v>
      </c>
      <c r="H12" s="234" t="s">
        <v>153</v>
      </c>
      <c r="I12" s="234" t="s">
        <v>105</v>
      </c>
      <c r="J12" s="234" t="s">
        <v>325</v>
      </c>
      <c r="K12" s="234" t="s">
        <v>149</v>
      </c>
      <c r="L12" s="237">
        <v>456850</v>
      </c>
      <c r="M12" s="238">
        <v>456850</v>
      </c>
      <c r="N12" s="238">
        <v>412000</v>
      </c>
      <c r="O12" s="238">
        <v>412000</v>
      </c>
      <c r="P12" s="238">
        <v>412000</v>
      </c>
      <c r="Q12" s="237">
        <v>0</v>
      </c>
      <c r="R12" s="239">
        <f>'20497'!H9</f>
        <v>79415.5</v>
      </c>
      <c r="S12" s="240">
        <f>'20497'!H11</f>
        <v>-44850</v>
      </c>
      <c r="T12" s="240">
        <v>0</v>
      </c>
      <c r="U12" s="241">
        <f t="shared" si="0"/>
        <v>-44850</v>
      </c>
      <c r="V12" s="242">
        <v>0</v>
      </c>
      <c r="W12" s="243">
        <v>0</v>
      </c>
      <c r="X12" s="244" t="s">
        <v>345</v>
      </c>
      <c r="Y12" s="254">
        <f>VLOOKUP(C12,'Summary_by FY'!$C$1:$C$997,1,FALSE)</f>
        <v>20497</v>
      </c>
    </row>
    <row r="13" spans="1:25" s="245" customFormat="1" hidden="1" outlineLevel="1" x14ac:dyDescent="0.4">
      <c r="A13" s="233">
        <f t="shared" si="1"/>
        <v>10</v>
      </c>
      <c r="B13" s="234" t="s">
        <v>89</v>
      </c>
      <c r="C13" s="235">
        <v>20506</v>
      </c>
      <c r="D13" s="234">
        <v>1170</v>
      </c>
      <c r="E13" s="234" t="s">
        <v>260</v>
      </c>
      <c r="F13" s="234" t="s">
        <v>28</v>
      </c>
      <c r="G13" s="236" t="str">
        <f>VLOOKUP(F13,lookup!B:C,2,FALSE)</f>
        <v>Peabody</v>
      </c>
      <c r="H13" s="234" t="s">
        <v>160</v>
      </c>
      <c r="I13" s="234" t="s">
        <v>242</v>
      </c>
      <c r="J13" s="234" t="s">
        <v>325</v>
      </c>
      <c r="K13" s="234" t="s">
        <v>149</v>
      </c>
      <c r="L13" s="237">
        <v>344155.26</v>
      </c>
      <c r="M13" s="238">
        <v>344155.26</v>
      </c>
      <c r="N13" s="238">
        <v>307776.26</v>
      </c>
      <c r="O13" s="238">
        <v>307776.26</v>
      </c>
      <c r="P13" s="238">
        <v>307776.26</v>
      </c>
      <c r="Q13" s="237">
        <v>0</v>
      </c>
      <c r="R13" s="239">
        <f>'20506'!H9</f>
        <v>344155.26</v>
      </c>
      <c r="S13" s="240">
        <f>'20506'!H10</f>
        <v>-36379</v>
      </c>
      <c r="T13" s="240">
        <v>0</v>
      </c>
      <c r="U13" s="241">
        <f t="shared" si="0"/>
        <v>-36379</v>
      </c>
      <c r="V13" s="242">
        <v>0</v>
      </c>
      <c r="W13" s="243">
        <v>0</v>
      </c>
      <c r="X13" s="244" t="s">
        <v>345</v>
      </c>
      <c r="Y13" s="254">
        <f>VLOOKUP(C13,'Summary_by FY'!$C$1:$C$997,1,FALSE)</f>
        <v>20506</v>
      </c>
    </row>
    <row r="14" spans="1:25" s="100" customFormat="1" collapsed="1" x14ac:dyDescent="0.4">
      <c r="A14" s="103">
        <f t="shared" si="1"/>
        <v>11</v>
      </c>
      <c r="B14" s="101" t="s">
        <v>89</v>
      </c>
      <c r="C14" s="208">
        <v>20562</v>
      </c>
      <c r="D14" s="101">
        <v>4564</v>
      </c>
      <c r="E14" s="101" t="s">
        <v>228</v>
      </c>
      <c r="F14" s="101" t="s">
        <v>28</v>
      </c>
      <c r="G14" s="102" t="str">
        <f>VLOOKUP(F14,lookup!B:C,2,FALSE)</f>
        <v>Peabody</v>
      </c>
      <c r="H14" s="101" t="s">
        <v>160</v>
      </c>
      <c r="I14" s="101" t="s">
        <v>107</v>
      </c>
      <c r="J14" s="101" t="s">
        <v>300</v>
      </c>
      <c r="K14" s="101" t="s">
        <v>156</v>
      </c>
      <c r="L14" s="116">
        <v>400000</v>
      </c>
      <c r="M14" s="117">
        <v>405791</v>
      </c>
      <c r="N14" s="117">
        <v>362559.64</v>
      </c>
      <c r="O14" s="117">
        <v>362559.64</v>
      </c>
      <c r="P14" s="117">
        <v>362559.64</v>
      </c>
      <c r="Q14" s="212">
        <v>43231.26</v>
      </c>
      <c r="R14" s="118">
        <f>'20562'!H9</f>
        <v>405791</v>
      </c>
      <c r="S14" s="124">
        <v>0</v>
      </c>
      <c r="T14" s="124">
        <v>0</v>
      </c>
      <c r="U14" s="200">
        <f t="shared" si="0"/>
        <v>0</v>
      </c>
      <c r="V14" s="169">
        <v>0</v>
      </c>
      <c r="W14" s="229">
        <v>0</v>
      </c>
      <c r="X14" t="s">
        <v>399</v>
      </c>
      <c r="Y14" s="253">
        <f>VLOOKUP(C14,'Summary_by FY'!$C$1:$C$997,1,FALSE)</f>
        <v>20562</v>
      </c>
    </row>
    <row r="15" spans="1:25" s="100" customFormat="1" x14ac:dyDescent="0.4">
      <c r="A15" s="103">
        <f t="shared" si="1"/>
        <v>12</v>
      </c>
      <c r="B15" s="101" t="s">
        <v>216</v>
      </c>
      <c r="C15" s="101">
        <v>20563</v>
      </c>
      <c r="D15" s="101">
        <v>4624</v>
      </c>
      <c r="E15" s="101"/>
      <c r="F15" s="101" t="s">
        <v>15</v>
      </c>
      <c r="G15" s="102" t="str">
        <f>VLOOKUP(F15,lookup!B:C,2,FALSE)</f>
        <v>Engineering</v>
      </c>
      <c r="H15" s="101" t="s">
        <v>161</v>
      </c>
      <c r="I15" s="101" t="s">
        <v>274</v>
      </c>
      <c r="J15" s="101" t="s">
        <v>267</v>
      </c>
      <c r="K15" s="101" t="s">
        <v>149</v>
      </c>
      <c r="L15" s="116">
        <v>386000</v>
      </c>
      <c r="M15" s="117">
        <v>0</v>
      </c>
      <c r="N15" s="117">
        <v>0</v>
      </c>
      <c r="O15" s="117">
        <v>0</v>
      </c>
      <c r="P15" s="117">
        <v>0</v>
      </c>
      <c r="Q15" s="116">
        <v>0</v>
      </c>
      <c r="R15" s="118">
        <v>0</v>
      </c>
      <c r="S15" s="124">
        <v>0</v>
      </c>
      <c r="T15" s="124">
        <v>0</v>
      </c>
      <c r="U15" s="200">
        <f t="shared" si="0"/>
        <v>0</v>
      </c>
      <c r="V15" s="169">
        <v>0</v>
      </c>
      <c r="W15" s="229" t="s">
        <v>216</v>
      </c>
      <c r="X15" t="s">
        <v>275</v>
      </c>
      <c r="Y15" s="253">
        <f>VLOOKUP(C15,'Summary_by FY'!$C$1:$C$997,1,FALSE)</f>
        <v>20563</v>
      </c>
    </row>
    <row r="16" spans="1:25" s="100" customFormat="1" x14ac:dyDescent="0.4">
      <c r="A16" s="103">
        <f t="shared" si="1"/>
        <v>13</v>
      </c>
      <c r="B16" s="101" t="s">
        <v>89</v>
      </c>
      <c r="C16" s="208">
        <v>20566</v>
      </c>
      <c r="D16" s="101">
        <v>20054</v>
      </c>
      <c r="E16" s="101" t="s">
        <v>158</v>
      </c>
      <c r="F16" s="101" t="s">
        <v>10</v>
      </c>
      <c r="G16" s="102" t="str">
        <f>VLOOKUP(F16,lookup!B:C,2,FALSE)</f>
        <v>Arts &amp; Science</v>
      </c>
      <c r="H16" s="101" t="s">
        <v>159</v>
      </c>
      <c r="I16" s="101" t="s">
        <v>184</v>
      </c>
      <c r="J16" s="101" t="s">
        <v>269</v>
      </c>
      <c r="K16" s="101" t="s">
        <v>149</v>
      </c>
      <c r="L16" s="116">
        <v>781870</v>
      </c>
      <c r="M16" s="117">
        <v>781870</v>
      </c>
      <c r="N16" s="117">
        <v>722586.68</v>
      </c>
      <c r="O16" s="117">
        <v>722586.68</v>
      </c>
      <c r="P16" s="117">
        <v>722586.68</v>
      </c>
      <c r="Q16" s="212">
        <v>59283.32</v>
      </c>
      <c r="R16" s="118">
        <f>'20566'!H18</f>
        <v>781870</v>
      </c>
      <c r="S16" s="124">
        <v>0</v>
      </c>
      <c r="T16" s="124">
        <v>0</v>
      </c>
      <c r="U16" s="200">
        <f t="shared" si="0"/>
        <v>0</v>
      </c>
      <c r="V16" s="169">
        <v>0</v>
      </c>
      <c r="W16" s="229">
        <v>0</v>
      </c>
      <c r="X16" t="s">
        <v>377</v>
      </c>
      <c r="Y16" s="253">
        <f>VLOOKUP(C16,'Summary_by FY'!$C$1:$C$997,1,FALSE)</f>
        <v>20566</v>
      </c>
    </row>
    <row r="17" spans="1:25" s="100" customFormat="1" x14ac:dyDescent="0.4">
      <c r="A17" s="103">
        <f t="shared" si="1"/>
        <v>14</v>
      </c>
      <c r="B17" s="101" t="s">
        <v>89</v>
      </c>
      <c r="C17" s="208">
        <v>20573</v>
      </c>
      <c r="D17" s="101">
        <v>8047</v>
      </c>
      <c r="E17" s="101" t="s">
        <v>239</v>
      </c>
      <c r="F17" s="101" t="s">
        <v>28</v>
      </c>
      <c r="G17" s="102" t="str">
        <f>VLOOKUP(F17,lookup!B:C,2,FALSE)</f>
        <v>Peabody</v>
      </c>
      <c r="H17" s="101" t="s">
        <v>160</v>
      </c>
      <c r="I17" s="101" t="s">
        <v>185</v>
      </c>
      <c r="J17" s="101" t="s">
        <v>300</v>
      </c>
      <c r="K17" s="101" t="s">
        <v>149</v>
      </c>
      <c r="L17" s="116">
        <v>1232681</v>
      </c>
      <c r="M17" s="117">
        <v>1232681</v>
      </c>
      <c r="N17" s="117">
        <v>1113460</v>
      </c>
      <c r="O17" s="117">
        <v>1113460</v>
      </c>
      <c r="P17" s="117">
        <v>1113460</v>
      </c>
      <c r="Q17" s="212">
        <v>119221</v>
      </c>
      <c r="R17" s="118">
        <f>'20573'!H18</f>
        <v>1232681</v>
      </c>
      <c r="S17" s="124">
        <v>0</v>
      </c>
      <c r="T17" s="124">
        <v>0</v>
      </c>
      <c r="U17" s="200">
        <f t="shared" si="0"/>
        <v>0</v>
      </c>
      <c r="V17" s="169">
        <v>0</v>
      </c>
      <c r="W17" s="229">
        <v>0</v>
      </c>
      <c r="X17" t="s">
        <v>400</v>
      </c>
      <c r="Y17" s="253">
        <f>VLOOKUP(C17,'Summary_by FY'!$C$1:$C$997,1,FALSE)</f>
        <v>20573</v>
      </c>
    </row>
    <row r="18" spans="1:25" s="100" customFormat="1" x14ac:dyDescent="0.4">
      <c r="A18" s="103">
        <f t="shared" si="1"/>
        <v>15</v>
      </c>
      <c r="B18" s="101" t="s">
        <v>89</v>
      </c>
      <c r="C18" s="208">
        <v>20574</v>
      </c>
      <c r="D18" s="101">
        <v>8145</v>
      </c>
      <c r="E18" s="101" t="s">
        <v>217</v>
      </c>
      <c r="F18" s="101" t="s">
        <v>21</v>
      </c>
      <c r="G18" s="102" t="str">
        <f>VLOOKUP(F18,lookup!B:C,2,FALSE)</f>
        <v>SOM Basic Sciences</v>
      </c>
      <c r="H18" s="101" t="s">
        <v>147</v>
      </c>
      <c r="I18" s="101" t="s">
        <v>186</v>
      </c>
      <c r="J18" s="101" t="s">
        <v>300</v>
      </c>
      <c r="K18" s="101" t="s">
        <v>156</v>
      </c>
      <c r="L18" s="116">
        <v>218202</v>
      </c>
      <c r="M18" s="117">
        <v>218202</v>
      </c>
      <c r="N18" s="117">
        <v>195665</v>
      </c>
      <c r="O18" s="117">
        <v>195665</v>
      </c>
      <c r="P18" s="117">
        <v>195665</v>
      </c>
      <c r="Q18" s="212">
        <v>22537</v>
      </c>
      <c r="R18" s="118">
        <f>'20574'!H18</f>
        <v>218202</v>
      </c>
      <c r="S18" s="124">
        <v>0</v>
      </c>
      <c r="T18" s="124">
        <v>0</v>
      </c>
      <c r="U18" s="200">
        <f t="shared" si="0"/>
        <v>0</v>
      </c>
      <c r="V18" s="169">
        <v>0</v>
      </c>
      <c r="W18" s="229">
        <v>0</v>
      </c>
      <c r="X18" t="s">
        <v>399</v>
      </c>
      <c r="Y18" s="253">
        <f>VLOOKUP(C18,'Summary_by FY'!$C$1:$C$997,1,FALSE)</f>
        <v>20574</v>
      </c>
    </row>
    <row r="19" spans="1:25" s="100" customFormat="1" x14ac:dyDescent="0.4">
      <c r="A19" s="103">
        <f t="shared" si="1"/>
        <v>16</v>
      </c>
      <c r="B19" s="101" t="s">
        <v>89</v>
      </c>
      <c r="C19" s="208">
        <v>20577</v>
      </c>
      <c r="D19" s="101">
        <v>8146</v>
      </c>
      <c r="E19" s="101" t="s">
        <v>165</v>
      </c>
      <c r="F19" s="101" t="s">
        <v>12</v>
      </c>
      <c r="G19" s="102" t="str">
        <f>VLOOKUP(F19,lookup!B:C,2,FALSE)</f>
        <v>Blair</v>
      </c>
      <c r="H19" s="101" t="s">
        <v>150</v>
      </c>
      <c r="I19" s="101" t="s">
        <v>374</v>
      </c>
      <c r="J19" s="101" t="s">
        <v>100</v>
      </c>
      <c r="K19" s="101" t="s">
        <v>151</v>
      </c>
      <c r="L19" s="116">
        <v>1500000</v>
      </c>
      <c r="M19" s="117">
        <v>223000</v>
      </c>
      <c r="N19" s="117">
        <v>220566.21</v>
      </c>
      <c r="O19" s="117">
        <v>220566.21</v>
      </c>
      <c r="P19" s="117">
        <v>185191.21</v>
      </c>
      <c r="Q19" s="116">
        <v>81</v>
      </c>
      <c r="R19" s="118">
        <f>'20577'!H18</f>
        <v>223000</v>
      </c>
      <c r="S19" s="124">
        <v>0</v>
      </c>
      <c r="T19" s="124">
        <v>0</v>
      </c>
      <c r="U19" s="200">
        <f t="shared" si="0"/>
        <v>0</v>
      </c>
      <c r="V19" s="169">
        <v>1500000</v>
      </c>
      <c r="W19" s="229">
        <v>2510000</v>
      </c>
      <c r="X19" t="s">
        <v>401</v>
      </c>
      <c r="Y19" s="253">
        <f>VLOOKUP(C19,'Summary_by FY'!$C$1:$C$997,1,FALSE)</f>
        <v>20577</v>
      </c>
    </row>
    <row r="20" spans="1:25" s="100" customFormat="1" x14ac:dyDescent="0.4">
      <c r="A20" s="103">
        <f t="shared" si="1"/>
        <v>17</v>
      </c>
      <c r="B20" s="101" t="s">
        <v>89</v>
      </c>
      <c r="C20" s="208">
        <v>20644</v>
      </c>
      <c r="D20" s="101">
        <v>8241</v>
      </c>
      <c r="E20" s="101" t="s">
        <v>220</v>
      </c>
      <c r="F20" s="101" t="s">
        <v>28</v>
      </c>
      <c r="G20" s="102" t="str">
        <f>VLOOKUP(F20,lookup!B:C,2,FALSE)</f>
        <v>Peabody</v>
      </c>
      <c r="H20" s="101" t="s">
        <v>157</v>
      </c>
      <c r="I20" s="101" t="s">
        <v>286</v>
      </c>
      <c r="J20" s="101" t="s">
        <v>269</v>
      </c>
      <c r="K20" s="101" t="s">
        <v>149</v>
      </c>
      <c r="L20" s="116">
        <v>630554</v>
      </c>
      <c r="M20" s="117">
        <v>630554</v>
      </c>
      <c r="N20" s="117">
        <v>571789</v>
      </c>
      <c r="O20" s="117">
        <v>571789</v>
      </c>
      <c r="P20" s="117">
        <v>569739</v>
      </c>
      <c r="Q20" s="212">
        <v>58765</v>
      </c>
      <c r="R20" s="118">
        <f>'20644'!H18</f>
        <v>630554</v>
      </c>
      <c r="S20" s="124">
        <v>0</v>
      </c>
      <c r="T20" s="124">
        <v>0</v>
      </c>
      <c r="U20" s="200">
        <f t="shared" si="0"/>
        <v>0</v>
      </c>
      <c r="V20" s="169">
        <v>0</v>
      </c>
      <c r="W20" s="229">
        <v>0</v>
      </c>
      <c r="X20" t="s">
        <v>367</v>
      </c>
      <c r="Y20" s="253">
        <f>VLOOKUP(C20,'Summary_by FY'!$C$1:$C$997,1,FALSE)</f>
        <v>20644</v>
      </c>
    </row>
    <row r="21" spans="1:25" s="100" customFormat="1" x14ac:dyDescent="0.4">
      <c r="A21" s="103">
        <f t="shared" si="1"/>
        <v>18</v>
      </c>
      <c r="B21" s="101" t="s">
        <v>90</v>
      </c>
      <c r="C21" s="208">
        <v>20645</v>
      </c>
      <c r="D21" s="101">
        <v>8239</v>
      </c>
      <c r="E21" s="101"/>
      <c r="F21" s="101" t="s">
        <v>10</v>
      </c>
      <c r="G21" s="102" t="str">
        <f>VLOOKUP(F21,lookup!B:C,2,FALSE)</f>
        <v>Arts &amp; Science</v>
      </c>
      <c r="H21" s="101" t="s">
        <v>148</v>
      </c>
      <c r="I21" s="101" t="s">
        <v>111</v>
      </c>
      <c r="J21" s="101" t="s">
        <v>300</v>
      </c>
      <c r="K21" s="101" t="s">
        <v>149</v>
      </c>
      <c r="L21" s="116">
        <v>125875</v>
      </c>
      <c r="M21" s="117">
        <v>125875</v>
      </c>
      <c r="N21" s="117">
        <v>114350</v>
      </c>
      <c r="O21" s="117">
        <v>114350</v>
      </c>
      <c r="P21" s="117">
        <v>112250</v>
      </c>
      <c r="Q21" s="212">
        <v>11225</v>
      </c>
      <c r="R21" s="118">
        <f>'20645'!H18</f>
        <v>125875</v>
      </c>
      <c r="S21" s="124">
        <v>0</v>
      </c>
      <c r="T21" s="124">
        <v>0</v>
      </c>
      <c r="U21" s="200">
        <f t="shared" si="0"/>
        <v>0</v>
      </c>
      <c r="V21" s="169">
        <v>0</v>
      </c>
      <c r="W21" s="229">
        <v>0</v>
      </c>
      <c r="X21" t="s">
        <v>402</v>
      </c>
      <c r="Y21" s="253">
        <f>VLOOKUP(C21,'Summary_by FY'!$C$1:$C$997,1,FALSE)</f>
        <v>20645</v>
      </c>
    </row>
    <row r="22" spans="1:25" s="100" customFormat="1" x14ac:dyDescent="0.4">
      <c r="A22" s="103">
        <f t="shared" si="1"/>
        <v>19</v>
      </c>
      <c r="B22" s="101" t="s">
        <v>89</v>
      </c>
      <c r="C22" s="208">
        <v>20667</v>
      </c>
      <c r="D22" s="101">
        <v>8168</v>
      </c>
      <c r="E22" s="101" t="s">
        <v>173</v>
      </c>
      <c r="F22" s="101" t="s">
        <v>15</v>
      </c>
      <c r="G22" s="102" t="str">
        <f>VLOOKUP(F22,lookup!B:C,2,FALSE)</f>
        <v>Engineering</v>
      </c>
      <c r="H22" s="101" t="s">
        <v>163</v>
      </c>
      <c r="I22" s="101" t="s">
        <v>164</v>
      </c>
      <c r="J22" s="101" t="s">
        <v>100</v>
      </c>
      <c r="K22" s="101" t="s">
        <v>156</v>
      </c>
      <c r="L22" s="116">
        <v>0</v>
      </c>
      <c r="M22" s="117">
        <v>146500</v>
      </c>
      <c r="N22" s="117">
        <v>146500</v>
      </c>
      <c r="O22" s="117">
        <v>146500</v>
      </c>
      <c r="P22" s="117">
        <v>34500</v>
      </c>
      <c r="Q22" s="116">
        <v>0</v>
      </c>
      <c r="R22" s="118">
        <f>'20667'!H18</f>
        <v>146500</v>
      </c>
      <c r="S22" s="124">
        <v>0</v>
      </c>
      <c r="T22" s="124">
        <v>2000000</v>
      </c>
      <c r="U22" s="200">
        <f t="shared" si="0"/>
        <v>2000000</v>
      </c>
      <c r="V22" s="169">
        <v>0</v>
      </c>
      <c r="W22" s="229">
        <v>0</v>
      </c>
      <c r="X22" t="s">
        <v>403</v>
      </c>
      <c r="Y22" s="253">
        <f>VLOOKUP(C22,'Summary_by FY'!$C$1:$C$997,1,FALSE)</f>
        <v>20667</v>
      </c>
    </row>
    <row r="23" spans="1:25" s="100" customFormat="1" x14ac:dyDescent="0.4">
      <c r="A23" s="103">
        <f t="shared" si="1"/>
        <v>20</v>
      </c>
      <c r="B23" s="101" t="s">
        <v>89</v>
      </c>
      <c r="C23" s="208">
        <v>20668</v>
      </c>
      <c r="D23" s="101">
        <v>8151</v>
      </c>
      <c r="E23" s="101" t="s">
        <v>188</v>
      </c>
      <c r="F23" s="101" t="s">
        <v>15</v>
      </c>
      <c r="G23" s="102" t="str">
        <f>VLOOKUP(F23,lookup!B:C,2,FALSE)</f>
        <v>Engineering</v>
      </c>
      <c r="H23" s="101" t="s">
        <v>161</v>
      </c>
      <c r="I23" s="101" t="s">
        <v>162</v>
      </c>
      <c r="J23" s="101" t="s">
        <v>100</v>
      </c>
      <c r="K23" s="101" t="s">
        <v>156</v>
      </c>
      <c r="L23" s="116">
        <v>0</v>
      </c>
      <c r="M23" s="117">
        <v>231433</v>
      </c>
      <c r="N23" s="117">
        <v>231433</v>
      </c>
      <c r="O23" s="117">
        <v>231433</v>
      </c>
      <c r="P23" s="117">
        <v>88415</v>
      </c>
      <c r="Q23" s="116">
        <v>0</v>
      </c>
      <c r="R23" s="118">
        <f>'20668'!H9+'20668'!H10</f>
        <v>206500</v>
      </c>
      <c r="S23" s="124">
        <f>'20668'!H11</f>
        <v>24933</v>
      </c>
      <c r="T23" s="124">
        <v>0</v>
      </c>
      <c r="U23" s="200">
        <f t="shared" si="0"/>
        <v>24933</v>
      </c>
      <c r="V23" s="169" t="s">
        <v>216</v>
      </c>
      <c r="W23" s="229">
        <v>0</v>
      </c>
      <c r="X23" t="s">
        <v>404</v>
      </c>
      <c r="Y23" s="253">
        <f>VLOOKUP(C23,'Summary_by FY'!$C$1:$C$997,1,FALSE)</f>
        <v>20668</v>
      </c>
    </row>
    <row r="24" spans="1:25" s="100" customFormat="1" x14ac:dyDescent="0.4">
      <c r="A24" s="103">
        <f t="shared" si="1"/>
        <v>21</v>
      </c>
      <c r="B24" s="101" t="s">
        <v>89</v>
      </c>
      <c r="C24" s="208">
        <v>20698</v>
      </c>
      <c r="D24" s="101">
        <v>1138</v>
      </c>
      <c r="E24" s="101" t="s">
        <v>213</v>
      </c>
      <c r="F24" s="101" t="s">
        <v>10</v>
      </c>
      <c r="G24" s="102" t="str">
        <f>VLOOKUP(F24,lookup!B:C,2,FALSE)</f>
        <v>Arts &amp; Science</v>
      </c>
      <c r="H24" s="101" t="s">
        <v>205</v>
      </c>
      <c r="I24" s="101" t="s">
        <v>218</v>
      </c>
      <c r="J24" s="101" t="s">
        <v>178</v>
      </c>
      <c r="K24" s="101" t="s">
        <v>156</v>
      </c>
      <c r="L24" s="116">
        <v>680000</v>
      </c>
      <c r="M24" s="117">
        <v>678513</v>
      </c>
      <c r="N24" s="117">
        <v>583771</v>
      </c>
      <c r="O24" s="117">
        <v>583771</v>
      </c>
      <c r="P24" s="117">
        <v>21207.5</v>
      </c>
      <c r="Q24" s="116">
        <v>0</v>
      </c>
      <c r="R24" s="118">
        <f>'20698'!H9+'20698'!H10+'20698'!H11</f>
        <v>29250</v>
      </c>
      <c r="S24" s="124">
        <f>'20698'!H12</f>
        <v>649263</v>
      </c>
      <c r="T24" s="124">
        <v>0</v>
      </c>
      <c r="U24" s="200">
        <f t="shared" si="0"/>
        <v>649263</v>
      </c>
      <c r="V24" s="169">
        <v>0</v>
      </c>
      <c r="W24" s="229">
        <v>0</v>
      </c>
      <c r="X24" s="231" t="s">
        <v>405</v>
      </c>
      <c r="Y24" s="253">
        <f>VLOOKUP(C24,'Summary_by FY'!$C$1:$C$997,1,FALSE)</f>
        <v>20698</v>
      </c>
    </row>
    <row r="25" spans="1:25" s="100" customFormat="1" x14ac:dyDescent="0.4">
      <c r="A25" s="103">
        <f t="shared" si="1"/>
        <v>22</v>
      </c>
      <c r="B25" s="101" t="s">
        <v>90</v>
      </c>
      <c r="C25" s="208">
        <v>20700</v>
      </c>
      <c r="D25" s="101">
        <v>851</v>
      </c>
      <c r="E25" s="101"/>
      <c r="F25" s="101" t="s">
        <v>10</v>
      </c>
      <c r="G25" s="102" t="str">
        <f>VLOOKUP(F25,lookup!B:C,2,FALSE)</f>
        <v>Arts &amp; Science</v>
      </c>
      <c r="H25" s="101" t="s">
        <v>159</v>
      </c>
      <c r="I25" s="101" t="s">
        <v>365</v>
      </c>
      <c r="J25" s="101" t="s">
        <v>269</v>
      </c>
      <c r="K25" s="101" t="s">
        <v>156</v>
      </c>
      <c r="L25" s="116">
        <v>80000</v>
      </c>
      <c r="M25" s="117">
        <v>85577</v>
      </c>
      <c r="N25" s="117">
        <v>85576.77</v>
      </c>
      <c r="O25" s="117">
        <v>85576.77</v>
      </c>
      <c r="P25" s="117">
        <v>85576.77</v>
      </c>
      <c r="Q25" s="212">
        <v>0.23</v>
      </c>
      <c r="R25" s="118">
        <f>'20700'!H9+'20700'!H10</f>
        <v>79623</v>
      </c>
      <c r="S25" s="124">
        <f>'20700'!H11</f>
        <v>5954</v>
      </c>
      <c r="T25" s="124">
        <v>0</v>
      </c>
      <c r="U25" s="200">
        <f t="shared" si="0"/>
        <v>5954</v>
      </c>
      <c r="V25" s="169">
        <v>0</v>
      </c>
      <c r="W25" s="229">
        <v>0</v>
      </c>
      <c r="X25" s="232" t="s">
        <v>378</v>
      </c>
      <c r="Y25" s="253">
        <f>VLOOKUP(C25,'Summary_by FY'!$C$1:$C$997,1,FALSE)</f>
        <v>20700</v>
      </c>
    </row>
    <row r="26" spans="1:25" s="100" customFormat="1" x14ac:dyDescent="0.4">
      <c r="A26" s="103">
        <f t="shared" si="1"/>
        <v>23</v>
      </c>
      <c r="B26" s="101" t="s">
        <v>89</v>
      </c>
      <c r="C26" s="208">
        <v>20701</v>
      </c>
      <c r="D26" s="101">
        <v>4399</v>
      </c>
      <c r="E26" s="101" t="s">
        <v>273</v>
      </c>
      <c r="F26" s="101" t="s">
        <v>10</v>
      </c>
      <c r="G26" s="102" t="str">
        <f>VLOOKUP(F26,lookup!B:C,2,FALSE)</f>
        <v>Arts &amp; Science</v>
      </c>
      <c r="H26" s="101" t="s">
        <v>206</v>
      </c>
      <c r="I26" s="101" t="s">
        <v>366</v>
      </c>
      <c r="J26" s="101" t="s">
        <v>100</v>
      </c>
      <c r="K26" s="101" t="s">
        <v>156</v>
      </c>
      <c r="L26" s="116">
        <v>500000</v>
      </c>
      <c r="M26" s="117">
        <v>499093</v>
      </c>
      <c r="N26" s="117">
        <v>18000</v>
      </c>
      <c r="O26" s="117">
        <v>18000</v>
      </c>
      <c r="P26" s="117">
        <v>9000</v>
      </c>
      <c r="Q26" s="116">
        <v>20500</v>
      </c>
      <c r="R26" s="118">
        <f>'20701'!H18</f>
        <v>499093</v>
      </c>
      <c r="S26" s="124">
        <v>0</v>
      </c>
      <c r="T26" s="124">
        <v>0</v>
      </c>
      <c r="U26" s="200">
        <f t="shared" si="0"/>
        <v>0</v>
      </c>
      <c r="V26" s="169">
        <v>0</v>
      </c>
      <c r="W26" s="229">
        <v>0</v>
      </c>
      <c r="X26" s="232" t="s">
        <v>406</v>
      </c>
      <c r="Y26" s="253">
        <f>VLOOKUP(C26,'Summary_by FY'!$C$1:$C$997,1,FALSE)</f>
        <v>20701</v>
      </c>
    </row>
    <row r="27" spans="1:25" s="100" customFormat="1" x14ac:dyDescent="0.4">
      <c r="A27" s="103">
        <f t="shared" si="1"/>
        <v>24</v>
      </c>
      <c r="B27" s="101" t="s">
        <v>89</v>
      </c>
      <c r="C27" s="208">
        <v>20702</v>
      </c>
      <c r="D27" s="101">
        <v>8432</v>
      </c>
      <c r="E27" s="101" t="s">
        <v>210</v>
      </c>
      <c r="F27" s="101" t="s">
        <v>28</v>
      </c>
      <c r="G27" s="102" t="str">
        <f>VLOOKUP(F27,lookup!B:C,2,FALSE)</f>
        <v>Peabody</v>
      </c>
      <c r="H27" s="101" t="s">
        <v>160</v>
      </c>
      <c r="I27" s="101" t="s">
        <v>211</v>
      </c>
      <c r="J27" s="101" t="s">
        <v>269</v>
      </c>
      <c r="K27" s="101" t="s">
        <v>149</v>
      </c>
      <c r="L27" s="116">
        <v>225791</v>
      </c>
      <c r="M27" s="117">
        <v>239341</v>
      </c>
      <c r="N27" s="117">
        <v>209419</v>
      </c>
      <c r="O27" s="117">
        <v>209419</v>
      </c>
      <c r="P27" s="117">
        <v>209419</v>
      </c>
      <c r="Q27" s="212">
        <v>29922</v>
      </c>
      <c r="R27" s="118">
        <f>'20702'!H18</f>
        <v>239341</v>
      </c>
      <c r="S27" s="124">
        <v>0</v>
      </c>
      <c r="T27" s="124">
        <v>0</v>
      </c>
      <c r="U27" s="200">
        <f t="shared" si="0"/>
        <v>0</v>
      </c>
      <c r="V27" s="169">
        <v>0</v>
      </c>
      <c r="W27" s="229">
        <v>0</v>
      </c>
      <c r="X27" s="232" t="s">
        <v>407</v>
      </c>
      <c r="Y27" s="253">
        <f>VLOOKUP(C27,'Summary_by FY'!$C$1:$C$997,1,FALSE)</f>
        <v>20702</v>
      </c>
    </row>
    <row r="28" spans="1:25" s="100" customFormat="1" x14ac:dyDescent="0.4">
      <c r="A28" s="103">
        <f t="shared" si="1"/>
        <v>25</v>
      </c>
      <c r="B28" s="101" t="s">
        <v>89</v>
      </c>
      <c r="C28" s="208">
        <v>20718</v>
      </c>
      <c r="D28" s="101">
        <v>8608</v>
      </c>
      <c r="E28" s="101" t="s">
        <v>261</v>
      </c>
      <c r="F28" s="101" t="s">
        <v>10</v>
      </c>
      <c r="G28" s="102" t="str">
        <f>VLOOKUP(F28,lookup!B:C,2,FALSE)</f>
        <v>Arts &amp; Science</v>
      </c>
      <c r="H28" s="101" t="s">
        <v>262</v>
      </c>
      <c r="I28" s="101" t="s">
        <v>263</v>
      </c>
      <c r="J28" s="101" t="s">
        <v>300</v>
      </c>
      <c r="K28" s="101" t="s">
        <v>264</v>
      </c>
      <c r="L28" s="116">
        <v>715000</v>
      </c>
      <c r="M28" s="117">
        <v>715000</v>
      </c>
      <c r="N28" s="117">
        <v>651554.6</v>
      </c>
      <c r="O28" s="117">
        <v>651554.6</v>
      </c>
      <c r="P28" s="117">
        <v>651346.59</v>
      </c>
      <c r="Q28" s="212">
        <v>63445.4</v>
      </c>
      <c r="R28" s="118">
        <f>'20718'!H9</f>
        <v>96166</v>
      </c>
      <c r="S28" s="124">
        <v>0</v>
      </c>
      <c r="T28" s="124">
        <v>0</v>
      </c>
      <c r="U28" s="200">
        <f t="shared" si="0"/>
        <v>0</v>
      </c>
      <c r="V28" s="169">
        <v>0</v>
      </c>
      <c r="W28" s="229">
        <v>0</v>
      </c>
      <c r="X28" s="232" t="s">
        <v>408</v>
      </c>
      <c r="Y28" s="253">
        <f>VLOOKUP(C28,'Summary_by FY'!$C$1:$C$997,1,FALSE)</f>
        <v>20718</v>
      </c>
    </row>
    <row r="29" spans="1:25" s="100" customFormat="1" x14ac:dyDescent="0.4">
      <c r="A29" s="103">
        <f t="shared" si="1"/>
        <v>26</v>
      </c>
      <c r="B29" s="101" t="s">
        <v>89</v>
      </c>
      <c r="C29" s="208">
        <v>20723</v>
      </c>
      <c r="D29" s="101">
        <v>1628</v>
      </c>
      <c r="E29" s="101" t="s">
        <v>253</v>
      </c>
      <c r="F29" s="101" t="s">
        <v>21</v>
      </c>
      <c r="G29" s="102" t="str">
        <f>VLOOKUP(F29,lookup!B:C,2,FALSE)</f>
        <v>SOM Basic Sciences</v>
      </c>
      <c r="H29" s="101" t="s">
        <v>147</v>
      </c>
      <c r="I29" s="101" t="s">
        <v>301</v>
      </c>
      <c r="J29" s="101" t="s">
        <v>100</v>
      </c>
      <c r="K29" s="101" t="s">
        <v>361</v>
      </c>
      <c r="L29" s="116">
        <v>1610000</v>
      </c>
      <c r="M29" s="117">
        <v>160500</v>
      </c>
      <c r="N29" s="117">
        <v>155232.51999999999</v>
      </c>
      <c r="O29" s="117">
        <v>155232.51999999999</v>
      </c>
      <c r="P29" s="117">
        <v>138257.51999999999</v>
      </c>
      <c r="Q29" s="116">
        <v>4767</v>
      </c>
      <c r="R29" s="118">
        <f>'20723'!H18</f>
        <v>160500</v>
      </c>
      <c r="S29" s="124">
        <v>0</v>
      </c>
      <c r="T29" s="124">
        <v>0</v>
      </c>
      <c r="U29" s="200">
        <f t="shared" si="0"/>
        <v>0</v>
      </c>
      <c r="V29" s="169" t="s">
        <v>216</v>
      </c>
      <c r="W29" s="229">
        <v>0</v>
      </c>
      <c r="X29" s="232" t="s">
        <v>409</v>
      </c>
      <c r="Y29" s="253">
        <f>VLOOKUP(C29,'Summary_by FY'!$C$1:$C$997,1,FALSE)</f>
        <v>20723</v>
      </c>
    </row>
    <row r="30" spans="1:25" s="100" customFormat="1" x14ac:dyDescent="0.4">
      <c r="A30" s="103">
        <f t="shared" si="1"/>
        <v>27</v>
      </c>
      <c r="B30" s="101" t="s">
        <v>89</v>
      </c>
      <c r="C30" s="208">
        <v>20724</v>
      </c>
      <c r="D30" s="101">
        <v>8557</v>
      </c>
      <c r="E30" s="101" t="s">
        <v>232</v>
      </c>
      <c r="F30" s="101" t="s">
        <v>12</v>
      </c>
      <c r="G30" s="102" t="str">
        <f>VLOOKUP(F30,lookup!B:C,2,FALSE)</f>
        <v>Blair</v>
      </c>
      <c r="H30" s="101" t="s">
        <v>150</v>
      </c>
      <c r="I30" s="101" t="s">
        <v>231</v>
      </c>
      <c r="J30" s="101" t="s">
        <v>101</v>
      </c>
      <c r="K30" s="101" t="s">
        <v>151</v>
      </c>
      <c r="L30" s="116">
        <v>1987500</v>
      </c>
      <c r="M30" s="117">
        <v>1987500</v>
      </c>
      <c r="N30" s="117">
        <v>844823</v>
      </c>
      <c r="O30" s="117">
        <v>1784625</v>
      </c>
      <c r="P30" s="117">
        <v>12000</v>
      </c>
      <c r="Q30" s="116">
        <v>0</v>
      </c>
      <c r="R30" s="118">
        <f>'20724'!H9</f>
        <v>23400</v>
      </c>
      <c r="S30" s="124">
        <f>'20724'!H10</f>
        <v>1964100</v>
      </c>
      <c r="T30" s="124">
        <v>0</v>
      </c>
      <c r="U30" s="200">
        <f t="shared" si="0"/>
        <v>1964100</v>
      </c>
      <c r="V30" s="169">
        <v>0</v>
      </c>
      <c r="W30" s="229">
        <v>0</v>
      </c>
      <c r="X30" s="232" t="s">
        <v>410</v>
      </c>
      <c r="Y30" s="253">
        <f>VLOOKUP(C30,'Summary_by FY'!$C$1:$C$997,1,FALSE)</f>
        <v>20724</v>
      </c>
    </row>
    <row r="31" spans="1:25" s="100" customFormat="1" x14ac:dyDescent="0.4">
      <c r="A31" s="103">
        <f t="shared" si="1"/>
        <v>28</v>
      </c>
      <c r="B31" s="101" t="s">
        <v>90</v>
      </c>
      <c r="C31" s="208">
        <v>20735</v>
      </c>
      <c r="D31" s="101">
        <v>8226</v>
      </c>
      <c r="E31" s="101"/>
      <c r="F31" s="101" t="s">
        <v>26</v>
      </c>
      <c r="G31" s="102" t="str">
        <f>VLOOKUP(F31,lookup!B:C,2,FALSE)</f>
        <v>Owen</v>
      </c>
      <c r="H31" s="101" t="s">
        <v>243</v>
      </c>
      <c r="I31" s="101" t="s">
        <v>259</v>
      </c>
      <c r="J31" s="101" t="s">
        <v>300</v>
      </c>
      <c r="K31" s="101" t="s">
        <v>149</v>
      </c>
      <c r="L31" s="116">
        <v>300000</v>
      </c>
      <c r="M31" s="117">
        <v>300000</v>
      </c>
      <c r="N31" s="117">
        <v>276500</v>
      </c>
      <c r="O31" s="117">
        <v>276500</v>
      </c>
      <c r="P31" s="117">
        <v>260350</v>
      </c>
      <c r="Q31" s="212">
        <v>23500</v>
      </c>
      <c r="R31" s="118">
        <f>'20735'!H18</f>
        <v>300000</v>
      </c>
      <c r="S31" s="124">
        <v>0</v>
      </c>
      <c r="T31" s="124">
        <v>0</v>
      </c>
      <c r="U31" s="200">
        <f t="shared" si="0"/>
        <v>0</v>
      </c>
      <c r="V31" s="169">
        <v>0</v>
      </c>
      <c r="W31" s="229">
        <v>0</v>
      </c>
      <c r="X31" s="232" t="s">
        <v>411</v>
      </c>
      <c r="Y31" s="253">
        <f>VLOOKUP(C31,'Summary_by FY'!$C$1:$C$997,1,FALSE)</f>
        <v>20735</v>
      </c>
    </row>
    <row r="32" spans="1:25" s="100" customFormat="1" x14ac:dyDescent="0.4">
      <c r="A32" s="103">
        <f t="shared" si="1"/>
        <v>29</v>
      </c>
      <c r="B32" s="101" t="s">
        <v>90</v>
      </c>
      <c r="C32" s="101">
        <v>20767</v>
      </c>
      <c r="D32" s="101">
        <v>8673</v>
      </c>
      <c r="E32" s="101"/>
      <c r="F32" s="101" t="s">
        <v>28</v>
      </c>
      <c r="G32" s="102" t="str">
        <f>VLOOKUP(F32,lookup!B:C,2,FALSE)</f>
        <v>Peabody</v>
      </c>
      <c r="H32" s="101" t="s">
        <v>265</v>
      </c>
      <c r="I32" s="101" t="s">
        <v>266</v>
      </c>
      <c r="J32" s="101" t="s">
        <v>224</v>
      </c>
      <c r="K32" s="101" t="s">
        <v>334</v>
      </c>
      <c r="L32" s="116">
        <v>81000</v>
      </c>
      <c r="M32" s="117">
        <v>0</v>
      </c>
      <c r="N32" s="117">
        <v>0</v>
      </c>
      <c r="O32" s="117">
        <v>0</v>
      </c>
      <c r="P32" s="117">
        <v>0</v>
      </c>
      <c r="Q32" s="116">
        <v>0</v>
      </c>
      <c r="R32" s="118">
        <v>0</v>
      </c>
      <c r="S32" s="124">
        <v>0</v>
      </c>
      <c r="T32" s="124">
        <f>L32</f>
        <v>81000</v>
      </c>
      <c r="U32" s="200">
        <f t="shared" si="0"/>
        <v>81000</v>
      </c>
      <c r="V32" s="169">
        <v>0</v>
      </c>
      <c r="W32" s="229">
        <v>0</v>
      </c>
      <c r="X32" s="232" t="s">
        <v>412</v>
      </c>
      <c r="Y32" s="253">
        <f>VLOOKUP(C32,'Summary_by FY'!$C$1:$C$997,1,FALSE)</f>
        <v>20767</v>
      </c>
    </row>
    <row r="33" spans="1:25" s="245" customFormat="1" hidden="1" outlineLevel="1" x14ac:dyDescent="0.4">
      <c r="A33" s="233">
        <f t="shared" si="1"/>
        <v>30</v>
      </c>
      <c r="B33" s="234" t="s">
        <v>90</v>
      </c>
      <c r="C33" s="246">
        <v>20771</v>
      </c>
      <c r="D33" s="234">
        <v>8674</v>
      </c>
      <c r="E33" s="234"/>
      <c r="F33" s="234" t="s">
        <v>10</v>
      </c>
      <c r="G33" s="236" t="str">
        <f>VLOOKUP(F33,lookup!B:C,2,FALSE)</f>
        <v>Arts &amp; Science</v>
      </c>
      <c r="H33" s="234" t="s">
        <v>159</v>
      </c>
      <c r="I33" s="234" t="s">
        <v>268</v>
      </c>
      <c r="J33" s="234" t="s">
        <v>325</v>
      </c>
      <c r="K33" s="234" t="s">
        <v>156</v>
      </c>
      <c r="L33" s="237">
        <v>25000</v>
      </c>
      <c r="M33" s="238">
        <v>24997</v>
      </c>
      <c r="N33" s="238">
        <v>17972</v>
      </c>
      <c r="O33" s="238">
        <v>17972</v>
      </c>
      <c r="P33" s="238">
        <v>17972</v>
      </c>
      <c r="Q33" s="237">
        <v>0</v>
      </c>
      <c r="R33" s="239">
        <f>'20771'!H9+'20771'!H10</f>
        <v>24997</v>
      </c>
      <c r="S33" s="240">
        <f>'20771'!H11</f>
        <v>-7025</v>
      </c>
      <c r="T33" s="240">
        <v>0</v>
      </c>
      <c r="U33" s="241">
        <f t="shared" si="0"/>
        <v>-7025</v>
      </c>
      <c r="V33" s="242">
        <v>0</v>
      </c>
      <c r="W33" s="243">
        <v>0</v>
      </c>
      <c r="X33" s="247" t="s">
        <v>326</v>
      </c>
      <c r="Y33" s="254">
        <f>VLOOKUP(C33,'Summary_by FY'!$C$1:$C$997,1,FALSE)</f>
        <v>20771</v>
      </c>
    </row>
    <row r="34" spans="1:25" s="100" customFormat="1" collapsed="1" x14ac:dyDescent="0.4">
      <c r="A34" s="103">
        <f t="shared" si="1"/>
        <v>31</v>
      </c>
      <c r="B34" s="101" t="s">
        <v>89</v>
      </c>
      <c r="C34" s="101">
        <v>20772</v>
      </c>
      <c r="D34" s="101">
        <v>8675</v>
      </c>
      <c r="E34" s="101"/>
      <c r="F34" s="101" t="s">
        <v>26</v>
      </c>
      <c r="G34" s="102" t="str">
        <f>VLOOKUP(F34,lookup!B:C,2,FALSE)</f>
        <v>Owen</v>
      </c>
      <c r="H34" s="101" t="s">
        <v>243</v>
      </c>
      <c r="I34" s="101" t="s">
        <v>375</v>
      </c>
      <c r="J34" s="101" t="s">
        <v>178</v>
      </c>
      <c r="K34" s="101" t="s">
        <v>149</v>
      </c>
      <c r="L34" s="116">
        <v>0</v>
      </c>
      <c r="M34" s="117">
        <v>0</v>
      </c>
      <c r="N34" s="117">
        <v>0</v>
      </c>
      <c r="O34" s="117">
        <v>0</v>
      </c>
      <c r="P34" s="117">
        <v>0</v>
      </c>
      <c r="Q34" s="116">
        <v>0</v>
      </c>
      <c r="R34" s="118">
        <v>0</v>
      </c>
      <c r="S34" s="124">
        <v>0</v>
      </c>
      <c r="T34" s="124">
        <v>0</v>
      </c>
      <c r="U34" s="200">
        <f t="shared" si="0"/>
        <v>0</v>
      </c>
      <c r="V34" s="169">
        <v>3200000</v>
      </c>
      <c r="W34" s="229">
        <v>0</v>
      </c>
      <c r="X34" s="232" t="s">
        <v>413</v>
      </c>
      <c r="Y34" s="253">
        <f>VLOOKUP(C34,'Summary_by FY'!$C$1:$C$997,1,FALSE)</f>
        <v>20772</v>
      </c>
    </row>
    <row r="35" spans="1:25" s="100" customFormat="1" x14ac:dyDescent="0.4">
      <c r="A35" s="103">
        <f t="shared" si="1"/>
        <v>32</v>
      </c>
      <c r="B35" s="101" t="s">
        <v>89</v>
      </c>
      <c r="C35" s="209">
        <v>20792</v>
      </c>
      <c r="D35" s="101">
        <v>1035</v>
      </c>
      <c r="E35" s="101" t="s">
        <v>288</v>
      </c>
      <c r="F35" s="101" t="s">
        <v>154</v>
      </c>
      <c r="G35" s="102" t="str">
        <f>VLOOKUP(F35,lookup!B:C,2,FALSE)</f>
        <v>Law</v>
      </c>
      <c r="H35" s="101" t="s">
        <v>282</v>
      </c>
      <c r="I35" s="101" t="s">
        <v>283</v>
      </c>
      <c r="J35" s="101" t="s">
        <v>269</v>
      </c>
      <c r="K35" s="101" t="s">
        <v>149</v>
      </c>
      <c r="L35" s="116">
        <v>400000</v>
      </c>
      <c r="M35" s="117">
        <v>483440</v>
      </c>
      <c r="N35" s="117">
        <v>450775</v>
      </c>
      <c r="O35" s="117">
        <v>450775</v>
      </c>
      <c r="P35" s="117">
        <v>450775</v>
      </c>
      <c r="Q35" s="212">
        <v>32665</v>
      </c>
      <c r="R35" s="118">
        <f>'20792'!H18</f>
        <v>483440</v>
      </c>
      <c r="S35" s="124">
        <v>0</v>
      </c>
      <c r="T35" s="124">
        <v>0</v>
      </c>
      <c r="U35" s="200">
        <f t="shared" si="0"/>
        <v>0</v>
      </c>
      <c r="V35" s="169">
        <v>0</v>
      </c>
      <c r="W35" s="229">
        <v>0</v>
      </c>
      <c r="X35" s="232" t="s">
        <v>414</v>
      </c>
      <c r="Y35" s="253">
        <f>VLOOKUP(C35,'Summary_by FY'!$C$1:$C$997,1,FALSE)</f>
        <v>20792</v>
      </c>
    </row>
    <row r="36" spans="1:25" s="100" customFormat="1" x14ac:dyDescent="0.4">
      <c r="A36" s="103">
        <f t="shared" si="1"/>
        <v>33</v>
      </c>
      <c r="B36" s="101" t="s">
        <v>90</v>
      </c>
      <c r="C36" s="209">
        <v>20831</v>
      </c>
      <c r="D36" s="101"/>
      <c r="E36" s="101"/>
      <c r="F36" s="101" t="s">
        <v>10</v>
      </c>
      <c r="G36" s="102" t="str">
        <f>VLOOKUP(F36,lookup!B:C,2,FALSE)</f>
        <v>Arts &amp; Science</v>
      </c>
      <c r="H36" s="101" t="s">
        <v>331</v>
      </c>
      <c r="I36" s="101" t="s">
        <v>332</v>
      </c>
      <c r="J36" s="101" t="s">
        <v>100</v>
      </c>
      <c r="K36" s="101" t="s">
        <v>156</v>
      </c>
      <c r="L36" s="116">
        <v>24000</v>
      </c>
      <c r="M36" s="117">
        <v>24000</v>
      </c>
      <c r="N36" s="117">
        <v>24000</v>
      </c>
      <c r="O36" s="117">
        <v>24000</v>
      </c>
      <c r="P36" s="117">
        <v>12000</v>
      </c>
      <c r="Q36" s="116">
        <v>0</v>
      </c>
      <c r="R36" s="118">
        <v>0</v>
      </c>
      <c r="S36" s="124">
        <f>'20831'!H18</f>
        <v>24000</v>
      </c>
      <c r="T36" s="124">
        <v>0</v>
      </c>
      <c r="U36" s="200">
        <f t="shared" ref="U36:U46" si="2">SUM(S36:T36)</f>
        <v>24000</v>
      </c>
      <c r="V36" s="169">
        <v>0</v>
      </c>
      <c r="W36" s="229">
        <v>0</v>
      </c>
      <c r="X36" s="101" t="s">
        <v>415</v>
      </c>
      <c r="Y36" s="253">
        <f>VLOOKUP(C36,'Summary_by FY'!$C$1:$C$997,1,FALSE)</f>
        <v>20831</v>
      </c>
    </row>
    <row r="37" spans="1:25" s="100" customFormat="1" x14ac:dyDescent="0.4">
      <c r="A37" s="103">
        <f t="shared" si="1"/>
        <v>34</v>
      </c>
      <c r="B37" s="101" t="s">
        <v>90</v>
      </c>
      <c r="C37" s="209">
        <v>20832</v>
      </c>
      <c r="D37" s="101"/>
      <c r="E37" s="101"/>
      <c r="F37" s="101" t="s">
        <v>10</v>
      </c>
      <c r="G37" s="102" t="str">
        <f>VLOOKUP(F37,lookup!B:C,2,FALSE)</f>
        <v>Arts &amp; Science</v>
      </c>
      <c r="H37" s="101" t="s">
        <v>205</v>
      </c>
      <c r="I37" s="101" t="s">
        <v>323</v>
      </c>
      <c r="J37" s="101" t="s">
        <v>269</v>
      </c>
      <c r="K37" s="101" t="s">
        <v>156</v>
      </c>
      <c r="L37" s="116">
        <v>24000</v>
      </c>
      <c r="M37" s="117">
        <v>24000</v>
      </c>
      <c r="N37" s="117">
        <v>24000</v>
      </c>
      <c r="O37" s="117">
        <v>24000</v>
      </c>
      <c r="P37" s="117">
        <v>24000</v>
      </c>
      <c r="Q37" s="116">
        <v>0</v>
      </c>
      <c r="R37" s="118">
        <v>0</v>
      </c>
      <c r="S37" s="124">
        <f>'20832'!H18</f>
        <v>24000</v>
      </c>
      <c r="T37" s="124">
        <v>0</v>
      </c>
      <c r="U37" s="200">
        <f t="shared" si="2"/>
        <v>24000</v>
      </c>
      <c r="V37" s="169">
        <v>0</v>
      </c>
      <c r="W37" s="229">
        <v>0</v>
      </c>
      <c r="X37" s="101" t="s">
        <v>416</v>
      </c>
      <c r="Y37" s="253">
        <f>VLOOKUP(C37,'Summary_by FY'!$C$1:$C$997,1,FALSE)</f>
        <v>20832</v>
      </c>
    </row>
    <row r="38" spans="1:25" s="100" customFormat="1" x14ac:dyDescent="0.4">
      <c r="A38" s="103">
        <f t="shared" si="1"/>
        <v>35</v>
      </c>
      <c r="B38" s="101" t="s">
        <v>90</v>
      </c>
      <c r="C38" s="209">
        <v>20833</v>
      </c>
      <c r="D38" s="101"/>
      <c r="E38" s="101"/>
      <c r="F38" s="101" t="s">
        <v>10</v>
      </c>
      <c r="G38" s="102" t="str">
        <f>VLOOKUP(F38,lookup!B:C,2,FALSE)</f>
        <v>Arts &amp; Science</v>
      </c>
      <c r="H38" s="101" t="s">
        <v>206</v>
      </c>
      <c r="I38" s="101" t="s">
        <v>324</v>
      </c>
      <c r="J38" s="101" t="s">
        <v>100</v>
      </c>
      <c r="K38" s="101" t="s">
        <v>156</v>
      </c>
      <c r="L38" s="116">
        <v>24000</v>
      </c>
      <c r="M38" s="117">
        <v>24000</v>
      </c>
      <c r="N38" s="117">
        <v>24000</v>
      </c>
      <c r="O38" s="117">
        <v>24000</v>
      </c>
      <c r="P38" s="117">
        <v>12000</v>
      </c>
      <c r="Q38" s="116">
        <v>0</v>
      </c>
      <c r="R38" s="118">
        <v>0</v>
      </c>
      <c r="S38" s="124">
        <f>'20833'!H18</f>
        <v>24000</v>
      </c>
      <c r="T38" s="124">
        <v>0</v>
      </c>
      <c r="U38" s="200">
        <f t="shared" si="2"/>
        <v>24000</v>
      </c>
      <c r="V38" s="169">
        <v>0</v>
      </c>
      <c r="W38" s="229">
        <v>0</v>
      </c>
      <c r="X38" s="101" t="s">
        <v>417</v>
      </c>
      <c r="Y38" s="253">
        <f>VLOOKUP(C38,'Summary_by FY'!$C$1:$C$997,1,FALSE)</f>
        <v>20833</v>
      </c>
    </row>
    <row r="39" spans="1:25" s="245" customFormat="1" hidden="1" outlineLevel="1" x14ac:dyDescent="0.4">
      <c r="A39" s="233">
        <f t="shared" si="1"/>
        <v>36</v>
      </c>
      <c r="B39" s="234" t="s">
        <v>90</v>
      </c>
      <c r="C39" s="234">
        <v>20834</v>
      </c>
      <c r="D39" s="234"/>
      <c r="E39" s="234"/>
      <c r="F39" s="234" t="s">
        <v>28</v>
      </c>
      <c r="G39" s="236" t="str">
        <f>VLOOKUP(F39,lookup!B:C,2,FALSE)</f>
        <v>Peabody</v>
      </c>
      <c r="H39" s="234" t="s">
        <v>160</v>
      </c>
      <c r="I39" s="234" t="s">
        <v>333</v>
      </c>
      <c r="J39" s="234" t="s">
        <v>325</v>
      </c>
      <c r="K39" s="234" t="s">
        <v>156</v>
      </c>
      <c r="L39" s="237">
        <v>5000</v>
      </c>
      <c r="M39" s="238">
        <v>0</v>
      </c>
      <c r="N39" s="238">
        <v>0</v>
      </c>
      <c r="O39" s="238">
        <v>0</v>
      </c>
      <c r="P39" s="238">
        <v>0</v>
      </c>
      <c r="Q39" s="237">
        <v>0</v>
      </c>
      <c r="R39" s="239">
        <v>0</v>
      </c>
      <c r="S39" s="240">
        <v>0</v>
      </c>
      <c r="T39" s="240">
        <v>0</v>
      </c>
      <c r="U39" s="241">
        <f t="shared" si="2"/>
        <v>0</v>
      </c>
      <c r="V39" s="242">
        <v>0</v>
      </c>
      <c r="W39" s="243">
        <v>0</v>
      </c>
      <c r="X39" s="234" t="s">
        <v>379</v>
      </c>
      <c r="Y39" s="254" t="e">
        <f>VLOOKUP(C39,'Summary_by FY'!$C$1:$C$997,1,FALSE)</f>
        <v>#N/A</v>
      </c>
    </row>
    <row r="40" spans="1:25" s="100" customFormat="1" collapsed="1" x14ac:dyDescent="0.4">
      <c r="A40" s="103">
        <f t="shared" si="1"/>
        <v>37</v>
      </c>
      <c r="B40" s="101" t="s">
        <v>89</v>
      </c>
      <c r="C40" s="101">
        <v>20838</v>
      </c>
      <c r="D40" s="101"/>
      <c r="E40" s="101"/>
      <c r="F40" s="101" t="s">
        <v>4</v>
      </c>
      <c r="G40" s="102" t="s">
        <v>426</v>
      </c>
      <c r="H40" s="101" t="s">
        <v>387</v>
      </c>
      <c r="I40" s="101" t="s">
        <v>388</v>
      </c>
      <c r="J40" s="101" t="s">
        <v>100</v>
      </c>
      <c r="K40" s="101" t="s">
        <v>361</v>
      </c>
      <c r="L40" s="116">
        <v>0</v>
      </c>
      <c r="M40" s="117">
        <v>0</v>
      </c>
      <c r="N40" s="117">
        <v>0</v>
      </c>
      <c r="O40" s="117">
        <v>0</v>
      </c>
      <c r="P40" s="117">
        <v>0</v>
      </c>
      <c r="Q40" s="116"/>
      <c r="R40" s="118"/>
      <c r="S40" s="124"/>
      <c r="T40" s="124"/>
      <c r="U40" s="200"/>
      <c r="V40" s="169" t="s">
        <v>216</v>
      </c>
      <c r="W40" s="229"/>
      <c r="X40" s="101" t="s">
        <v>418</v>
      </c>
      <c r="Y40" s="253">
        <f>VLOOKUP(C40,'Summary_by FY'!$C$1:$C$997,1,FALSE)</f>
        <v>20838</v>
      </c>
    </row>
    <row r="41" spans="1:25" s="100" customFormat="1" x14ac:dyDescent="0.4">
      <c r="A41" s="103">
        <f t="shared" si="1"/>
        <v>38</v>
      </c>
      <c r="B41" s="101" t="s">
        <v>89</v>
      </c>
      <c r="C41" s="209">
        <v>20857</v>
      </c>
      <c r="D41" s="101"/>
      <c r="E41" s="101" t="s">
        <v>359</v>
      </c>
      <c r="F41" s="101" t="s">
        <v>28</v>
      </c>
      <c r="G41" s="102" t="str">
        <f>VLOOKUP(F41,lookup!B:C,2,FALSE)</f>
        <v>Peabody</v>
      </c>
      <c r="H41" s="101" t="s">
        <v>358</v>
      </c>
      <c r="I41" s="101" t="s">
        <v>357</v>
      </c>
      <c r="J41" s="101" t="s">
        <v>224</v>
      </c>
      <c r="K41" s="101" t="s">
        <v>149</v>
      </c>
      <c r="L41" s="116">
        <v>0</v>
      </c>
      <c r="M41" s="117">
        <v>21600</v>
      </c>
      <c r="N41" s="117">
        <v>17600</v>
      </c>
      <c r="O41" s="117">
        <v>21600</v>
      </c>
      <c r="P41" s="117">
        <v>0</v>
      </c>
      <c r="Q41" s="116">
        <v>0</v>
      </c>
      <c r="R41" s="118">
        <v>0</v>
      </c>
      <c r="S41" s="124">
        <f>'20857'!H18</f>
        <v>21600</v>
      </c>
      <c r="T41" s="124">
        <v>0</v>
      </c>
      <c r="U41" s="200">
        <f t="shared" si="2"/>
        <v>21600</v>
      </c>
      <c r="V41" s="169">
        <v>0</v>
      </c>
      <c r="W41" s="229">
        <v>0</v>
      </c>
      <c r="X41" s="101" t="s">
        <v>419</v>
      </c>
      <c r="Y41" s="253">
        <f>VLOOKUP(C41,'Summary_by FY'!$C$1:$C$997,1,FALSE)</f>
        <v>20857</v>
      </c>
    </row>
    <row r="42" spans="1:25" s="100" customFormat="1" x14ac:dyDescent="0.4">
      <c r="A42" s="103">
        <f t="shared" si="1"/>
        <v>39</v>
      </c>
      <c r="B42" s="101" t="s">
        <v>90</v>
      </c>
      <c r="C42" s="101">
        <v>20885</v>
      </c>
      <c r="D42" s="101"/>
      <c r="E42" s="101"/>
      <c r="F42" s="101" t="s">
        <v>21</v>
      </c>
      <c r="G42" s="102" t="str">
        <f>VLOOKUP(F42,lookup!B:C,2,FALSE)</f>
        <v>SOM Basic Sciences</v>
      </c>
      <c r="H42" s="101" t="s">
        <v>376</v>
      </c>
      <c r="I42" s="101" t="s">
        <v>380</v>
      </c>
      <c r="J42" s="101" t="s">
        <v>224</v>
      </c>
      <c r="K42" s="101" t="s">
        <v>156</v>
      </c>
      <c r="L42" s="116">
        <v>98341</v>
      </c>
      <c r="M42" s="117">
        <v>0</v>
      </c>
      <c r="N42" s="117">
        <v>0</v>
      </c>
      <c r="O42" s="117">
        <v>0</v>
      </c>
      <c r="P42" s="117">
        <v>0</v>
      </c>
      <c r="Q42" s="116"/>
      <c r="R42" s="118"/>
      <c r="S42" s="124"/>
      <c r="T42" s="124">
        <f>L42</f>
        <v>98341</v>
      </c>
      <c r="U42" s="200">
        <f t="shared" si="2"/>
        <v>98341</v>
      </c>
      <c r="V42" s="169"/>
      <c r="W42" s="229"/>
      <c r="X42" s="232" t="s">
        <v>420</v>
      </c>
      <c r="Y42" s="253">
        <f>VLOOKUP(C42,'Summary_by FY'!$C$1:$C$997,1,FALSE)</f>
        <v>20885</v>
      </c>
    </row>
    <row r="43" spans="1:25" s="100" customFormat="1" x14ac:dyDescent="0.4">
      <c r="A43" s="103">
        <f t="shared" si="1"/>
        <v>40</v>
      </c>
      <c r="B43" s="101" t="s">
        <v>89</v>
      </c>
      <c r="C43" s="101">
        <v>20911</v>
      </c>
      <c r="D43" s="101"/>
      <c r="E43" s="101"/>
      <c r="F43" s="101" t="s">
        <v>10</v>
      </c>
      <c r="G43" s="102" t="str">
        <f>VLOOKUP(F43,lookup!B:C,2,FALSE)</f>
        <v>Arts &amp; Science</v>
      </c>
      <c r="H43" s="101" t="s">
        <v>262</v>
      </c>
      <c r="I43" s="101" t="s">
        <v>389</v>
      </c>
      <c r="J43" s="101" t="s">
        <v>100</v>
      </c>
      <c r="K43" s="101" t="s">
        <v>149</v>
      </c>
      <c r="L43" s="116">
        <v>75000</v>
      </c>
      <c r="M43" s="117">
        <v>0</v>
      </c>
      <c r="N43" s="117">
        <v>0</v>
      </c>
      <c r="O43" s="117">
        <v>0</v>
      </c>
      <c r="P43" s="117">
        <v>0</v>
      </c>
      <c r="Q43" s="116"/>
      <c r="R43" s="118"/>
      <c r="S43" s="124"/>
      <c r="T43" s="124">
        <f>L43</f>
        <v>75000</v>
      </c>
      <c r="U43" s="200">
        <f t="shared" si="2"/>
        <v>75000</v>
      </c>
      <c r="V43" s="169"/>
      <c r="W43" s="229"/>
      <c r="X43" s="232" t="s">
        <v>421</v>
      </c>
      <c r="Y43" s="253">
        <f>VLOOKUP(C43,'Summary_by FY'!$C$1:$C$997,1,FALSE)</f>
        <v>20911</v>
      </c>
    </row>
    <row r="44" spans="1:25" s="100" customFormat="1" x14ac:dyDescent="0.4">
      <c r="A44" s="103">
        <f t="shared" si="1"/>
        <v>41</v>
      </c>
      <c r="B44" s="101" t="s">
        <v>89</v>
      </c>
      <c r="C44" s="101">
        <v>20912</v>
      </c>
      <c r="D44" s="101"/>
      <c r="E44" s="101"/>
      <c r="F44" s="101" t="s">
        <v>10</v>
      </c>
      <c r="G44" s="102" t="str">
        <f>VLOOKUP(F44,lookup!B:C,2,FALSE)</f>
        <v>Arts &amp; Science</v>
      </c>
      <c r="H44" s="101" t="s">
        <v>148</v>
      </c>
      <c r="I44" s="101" t="s">
        <v>390</v>
      </c>
      <c r="J44" s="101" t="s">
        <v>100</v>
      </c>
      <c r="K44" s="101" t="s">
        <v>149</v>
      </c>
      <c r="L44" s="116">
        <v>75000</v>
      </c>
      <c r="M44" s="117">
        <v>0</v>
      </c>
      <c r="N44" s="117">
        <v>0</v>
      </c>
      <c r="O44" s="117">
        <v>0</v>
      </c>
      <c r="P44" s="117">
        <v>0</v>
      </c>
      <c r="Q44" s="116"/>
      <c r="R44" s="118"/>
      <c r="S44" s="124"/>
      <c r="T44" s="124">
        <f>L44</f>
        <v>75000</v>
      </c>
      <c r="U44" s="200">
        <f t="shared" si="2"/>
        <v>75000</v>
      </c>
      <c r="V44" s="169"/>
      <c r="W44" s="229"/>
      <c r="X44" s="232" t="s">
        <v>421</v>
      </c>
      <c r="Y44" s="253">
        <f>VLOOKUP(C44,'Summary_by FY'!$C$1:$C$997,1,FALSE)</f>
        <v>20912</v>
      </c>
    </row>
    <row r="45" spans="1:25" s="100" customFormat="1" x14ac:dyDescent="0.4">
      <c r="A45" s="103">
        <f t="shared" si="1"/>
        <v>42</v>
      </c>
      <c r="B45" s="101" t="s">
        <v>89</v>
      </c>
      <c r="C45" s="101">
        <v>20913</v>
      </c>
      <c r="D45" s="101"/>
      <c r="E45" s="101"/>
      <c r="F45" s="101" t="s">
        <v>10</v>
      </c>
      <c r="G45" s="102" t="str">
        <f>VLOOKUP(F45,lookup!B:C,2,FALSE)</f>
        <v>Arts &amp; Science</v>
      </c>
      <c r="H45" s="101" t="s">
        <v>205</v>
      </c>
      <c r="I45" s="101" t="s">
        <v>391</v>
      </c>
      <c r="J45" s="101" t="s">
        <v>100</v>
      </c>
      <c r="K45" s="101" t="s">
        <v>149</v>
      </c>
      <c r="L45" s="116">
        <v>75000</v>
      </c>
      <c r="M45" s="117">
        <v>0</v>
      </c>
      <c r="N45" s="117">
        <v>0</v>
      </c>
      <c r="O45" s="117">
        <v>0</v>
      </c>
      <c r="P45" s="117">
        <v>0</v>
      </c>
      <c r="Q45" s="116"/>
      <c r="R45" s="118"/>
      <c r="S45" s="124"/>
      <c r="T45" s="124">
        <f>L45</f>
        <v>75000</v>
      </c>
      <c r="U45" s="200">
        <f t="shared" si="2"/>
        <v>75000</v>
      </c>
      <c r="V45" s="169"/>
      <c r="W45" s="229"/>
      <c r="X45" s="232" t="s">
        <v>421</v>
      </c>
      <c r="Y45" s="253">
        <f>VLOOKUP(C45,'Summary_by FY'!$C$1:$C$997,1,FALSE)</f>
        <v>20913</v>
      </c>
    </row>
    <row r="46" spans="1:25" s="100" customFormat="1" x14ac:dyDescent="0.4">
      <c r="A46" s="103">
        <f t="shared" si="1"/>
        <v>43</v>
      </c>
      <c r="B46" s="101" t="s">
        <v>90</v>
      </c>
      <c r="C46" s="101" t="s">
        <v>384</v>
      </c>
      <c r="D46" s="101"/>
      <c r="E46" s="101"/>
      <c r="F46" s="101" t="s">
        <v>154</v>
      </c>
      <c r="G46" s="102" t="str">
        <f>VLOOKUP(F46,lookup!B:C,2,FALSE)</f>
        <v>Law</v>
      </c>
      <c r="H46" s="101" t="s">
        <v>282</v>
      </c>
      <c r="I46" s="101" t="s">
        <v>373</v>
      </c>
      <c r="J46" s="101" t="s">
        <v>393</v>
      </c>
      <c r="K46" s="101" t="s">
        <v>392</v>
      </c>
      <c r="L46" s="116"/>
      <c r="M46" s="117">
        <v>0</v>
      </c>
      <c r="N46" s="117">
        <v>0</v>
      </c>
      <c r="O46" s="117">
        <v>0</v>
      </c>
      <c r="P46" s="117">
        <v>0</v>
      </c>
      <c r="Q46" s="116"/>
      <c r="R46" s="118"/>
      <c r="S46" s="124"/>
      <c r="T46" s="124">
        <f>350000*1.2</f>
        <v>420000</v>
      </c>
      <c r="U46" s="200">
        <f t="shared" si="2"/>
        <v>420000</v>
      </c>
      <c r="V46" s="169"/>
      <c r="W46" s="229"/>
      <c r="X46" s="232" t="s">
        <v>422</v>
      </c>
      <c r="Y46" s="253" t="str">
        <f>VLOOKUP(C46,'Summary_by FY'!$C$1:$C$997,1,FALSE)</f>
        <v>WO#</v>
      </c>
    </row>
    <row r="47" spans="1:25" ht="15" thickBot="1" x14ac:dyDescent="0.45">
      <c r="B47" s="91"/>
      <c r="C47" s="91"/>
      <c r="D47" s="92"/>
      <c r="E47" s="91"/>
      <c r="F47" s="91"/>
      <c r="G47" s="104"/>
      <c r="H47" s="91"/>
      <c r="I47" s="91"/>
      <c r="J47" s="91"/>
      <c r="K47" s="91"/>
      <c r="L47" s="119">
        <f t="shared" ref="L47:S47" si="3">SUM(L4:L46)</f>
        <v>27328083.759999998</v>
      </c>
      <c r="M47" s="120">
        <f t="shared" si="3"/>
        <v>20010793.759999998</v>
      </c>
      <c r="N47" s="120">
        <f t="shared" si="3"/>
        <v>16742044.49</v>
      </c>
      <c r="O47" s="120">
        <f t="shared" si="3"/>
        <v>17840602.189999998</v>
      </c>
      <c r="P47" s="120">
        <f t="shared" si="3"/>
        <v>10235469.489999998</v>
      </c>
      <c r="Q47" s="119">
        <f t="shared" si="3"/>
        <v>1362459.0699999998</v>
      </c>
      <c r="R47" s="121">
        <f t="shared" si="3"/>
        <v>8797286.2599999998</v>
      </c>
      <c r="S47" s="125">
        <f t="shared" si="3"/>
        <v>7590412.04</v>
      </c>
      <c r="T47" s="125">
        <f>SUM(T4:T46)</f>
        <v>2824341</v>
      </c>
      <c r="U47" s="201">
        <f t="shared" ref="U47:W47" si="4">SUM(U4:U46)</f>
        <v>10414753.039999999</v>
      </c>
      <c r="V47" s="170">
        <f t="shared" si="4"/>
        <v>4700000</v>
      </c>
      <c r="W47" s="230">
        <f t="shared" si="4"/>
        <v>5680000</v>
      </c>
      <c r="X47" s="91"/>
    </row>
    <row r="48" spans="1:25" x14ac:dyDescent="0.4">
      <c r="R48" s="122" t="b">
        <f>R47='JE LOG_FY23'!C21</f>
        <v>1</v>
      </c>
      <c r="S48" s="122" t="b">
        <f>S47='JE LOG_FY24'!C21</f>
        <v>1</v>
      </c>
      <c r="U48" s="86"/>
    </row>
    <row r="49" spans="1:21" x14ac:dyDescent="0.4">
      <c r="I49" s="97" t="s">
        <v>212</v>
      </c>
    </row>
    <row r="50" spans="1:21" x14ac:dyDescent="0.4">
      <c r="I50" s="98" t="s">
        <v>381</v>
      </c>
      <c r="M50" s="158"/>
      <c r="N50" s="158"/>
      <c r="O50" s="158"/>
      <c r="P50" s="158"/>
      <c r="Q50" s="158" t="s">
        <v>255</v>
      </c>
      <c r="R50" s="158">
        <f>'Summary_for Web-1'!C15</f>
        <v>9364499</v>
      </c>
      <c r="T50" s="158" t="s">
        <v>313</v>
      </c>
      <c r="U50" s="158">
        <f>R55</f>
        <v>567212.74000000022</v>
      </c>
    </row>
    <row r="51" spans="1:21" x14ac:dyDescent="0.4">
      <c r="A51" s="84"/>
      <c r="I51" s="98" t="s">
        <v>382</v>
      </c>
      <c r="L51" s="158"/>
      <c r="M51" s="158"/>
      <c r="N51" s="158"/>
      <c r="O51" s="158"/>
      <c r="P51" s="158"/>
      <c r="Q51" s="158"/>
      <c r="R51" s="159"/>
      <c r="T51" s="158" t="s">
        <v>255</v>
      </c>
      <c r="U51" s="158">
        <f>Contributions!G14</f>
        <v>11029283.289999999</v>
      </c>
    </row>
    <row r="52" spans="1:21" x14ac:dyDescent="0.4">
      <c r="J52" s="105"/>
      <c r="M52" s="158"/>
      <c r="N52" s="158"/>
      <c r="O52" s="158"/>
      <c r="P52" s="158"/>
      <c r="Q52" s="158" t="s">
        <v>256</v>
      </c>
      <c r="R52" s="159">
        <f>R47</f>
        <v>8797286.2599999998</v>
      </c>
      <c r="T52" s="158"/>
      <c r="U52" s="160">
        <f>SUM(U50:U51)</f>
        <v>11596496.029999999</v>
      </c>
    </row>
    <row r="53" spans="1:21" x14ac:dyDescent="0.4">
      <c r="J53" s="105"/>
      <c r="L53" s="158"/>
      <c r="M53" s="158"/>
      <c r="N53" s="158"/>
      <c r="O53" s="158"/>
      <c r="P53" s="158"/>
      <c r="R53" s="159"/>
      <c r="T53" s="158"/>
      <c r="U53" s="158"/>
    </row>
    <row r="54" spans="1:21" x14ac:dyDescent="0.4">
      <c r="L54" s="158"/>
      <c r="M54" s="158"/>
      <c r="N54" s="158"/>
      <c r="O54" s="158"/>
      <c r="P54" s="158"/>
      <c r="Q54" s="158"/>
      <c r="R54" s="158"/>
    </row>
    <row r="55" spans="1:21" x14ac:dyDescent="0.4">
      <c r="I55" s="97" t="s">
        <v>222</v>
      </c>
      <c r="M55" s="158"/>
      <c r="N55" s="158"/>
      <c r="O55" s="158"/>
      <c r="P55" s="158"/>
      <c r="Q55" s="158" t="s">
        <v>257</v>
      </c>
      <c r="R55" s="158">
        <f>R50-R52</f>
        <v>567212.74000000022</v>
      </c>
      <c r="T55" s="158" t="s">
        <v>256</v>
      </c>
      <c r="U55" s="159">
        <f>S47</f>
        <v>7590412.04</v>
      </c>
    </row>
    <row r="56" spans="1:21" x14ac:dyDescent="0.4">
      <c r="I56" s="98" t="s">
        <v>353</v>
      </c>
      <c r="T56" s="158" t="s">
        <v>258</v>
      </c>
      <c r="U56" s="159">
        <f>T47</f>
        <v>2824341</v>
      </c>
    </row>
    <row r="57" spans="1:21" x14ac:dyDescent="0.4">
      <c r="I57" s="98"/>
      <c r="T57" s="158"/>
      <c r="U57" s="160">
        <f>SUM(U55:U56)</f>
        <v>10414753.039999999</v>
      </c>
    </row>
    <row r="58" spans="1:21" x14ac:dyDescent="0.4">
      <c r="T58" s="158"/>
      <c r="U58" s="158"/>
    </row>
    <row r="59" spans="1:21" x14ac:dyDescent="0.4">
      <c r="Q59" s="213" t="s">
        <v>424</v>
      </c>
      <c r="R59" s="213">
        <f>Q5+Q7+Q8+Q16+Q17+Q20+Q27+Q28+Q31+Q25+Q35</f>
        <v>527057.81000000006</v>
      </c>
      <c r="T59" s="158" t="s">
        <v>257</v>
      </c>
      <c r="U59" s="158">
        <f>U52-U57</f>
        <v>1181742.9900000002</v>
      </c>
    </row>
    <row r="63" spans="1:21" x14ac:dyDescent="0.4">
      <c r="I63" s="171"/>
    </row>
    <row r="64" spans="1:21" x14ac:dyDescent="0.4">
      <c r="I64" s="171"/>
    </row>
    <row r="83" spans="9:9" x14ac:dyDescent="0.4">
      <c r="I83" s="101"/>
    </row>
    <row r="84" spans="9:9" x14ac:dyDescent="0.4">
      <c r="I84" s="101"/>
    </row>
    <row r="85" spans="9:9" x14ac:dyDescent="0.4">
      <c r="I85" s="101"/>
    </row>
    <row r="86" spans="9:9" x14ac:dyDescent="0.4">
      <c r="I86" s="101"/>
    </row>
    <row r="87" spans="9:9" x14ac:dyDescent="0.4">
      <c r="I87" s="101"/>
    </row>
    <row r="88" spans="9:9" x14ac:dyDescent="0.4">
      <c r="I88" s="101"/>
    </row>
    <row r="89" spans="9:9" x14ac:dyDescent="0.4">
      <c r="I89" s="101"/>
    </row>
    <row r="90" spans="9:9" x14ac:dyDescent="0.4">
      <c r="I90" s="101"/>
    </row>
    <row r="91" spans="9:9" x14ac:dyDescent="0.4">
      <c r="I91" s="101"/>
    </row>
    <row r="92" spans="9:9" x14ac:dyDescent="0.4">
      <c r="I92" s="101"/>
    </row>
  </sheetData>
  <sortState xmlns:xlrd2="http://schemas.microsoft.com/office/spreadsheetml/2017/richdata2" ref="A4:X23">
    <sortCondition ref="C4:C23"/>
    <sortCondition ref="J4:J23"/>
    <sortCondition descending="1" ref="L4:L23"/>
  </sortState>
  <phoneticPr fontId="5" type="noConversion"/>
  <hyperlinks>
    <hyperlink ref="R1" location="'JE LOG_FY23'!A1" display="'JE LOG_FY23'!A1" xr:uid="{4AA5BFBA-BD76-4E23-903B-8F8B27E7CF98}"/>
    <hyperlink ref="U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38" location="'20833'!A1" display="'20833'!A1" xr:uid="{D660A35B-E5FA-4306-B284-C599161FF1B9}"/>
    <hyperlink ref="C37" location="'20832'!A1" display="'20832'!A1" xr:uid="{558B6E4F-42AF-4C1D-A848-552C93D37A2B}"/>
    <hyperlink ref="C36" location="'20831'!A1" display="'20831'!A1" xr:uid="{B4100B18-B071-4D4E-B0B0-FC25FA5C0356}"/>
    <hyperlink ref="C41" location="'20857'!A1" display="'20857'!A1" xr:uid="{4F373CCB-5B9B-496C-80AB-3C3313143CC6}"/>
  </hyperlink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O105"/>
  <sheetViews>
    <sheetView topLeftCell="A32" zoomScaleNormal="100" workbookViewId="0">
      <selection activeCell="L58" sqref="L58"/>
    </sheetView>
  </sheetViews>
  <sheetFormatPr defaultRowHeight="14.6" outlineLevelCol="1" x14ac:dyDescent="0.4"/>
  <cols>
    <col min="2" max="2" width="3.53515625" bestFit="1" customWidth="1"/>
    <col min="3" max="3" width="8.53515625" bestFit="1" customWidth="1"/>
    <col min="4" max="4" width="29.3828125" bestFit="1" customWidth="1"/>
    <col min="5" max="5" width="64.3046875" bestFit="1" customWidth="1"/>
    <col min="6" max="6" width="20.69140625" customWidth="1"/>
    <col min="7" max="7" width="13.84375" bestFit="1" customWidth="1"/>
    <col min="8" max="8" width="14.15234375" customWidth="1"/>
    <col min="9" max="10" width="12" style="21" customWidth="1" outlineLevel="1"/>
    <col min="11" max="12" width="14.15234375" customWidth="1"/>
    <col min="14" max="14" width="11.15234375" bestFit="1" customWidth="1"/>
    <col min="15" max="15" width="10.53515625" bestFit="1" customWidth="1"/>
  </cols>
  <sheetData>
    <row r="2" spans="1:12" x14ac:dyDescent="0.4">
      <c r="A2" s="263" t="s">
        <v>290</v>
      </c>
      <c r="B2" s="174"/>
      <c r="C2" s="174" t="s">
        <v>125</v>
      </c>
      <c r="D2" s="174" t="s">
        <v>114</v>
      </c>
      <c r="E2" s="174" t="s">
        <v>87</v>
      </c>
      <c r="F2" s="174" t="s">
        <v>128</v>
      </c>
      <c r="G2" s="174" t="s">
        <v>129</v>
      </c>
      <c r="H2" s="185" t="s">
        <v>294</v>
      </c>
      <c r="I2" s="175" t="s">
        <v>256</v>
      </c>
      <c r="J2" s="175" t="s">
        <v>292</v>
      </c>
      <c r="K2" s="191" t="s">
        <v>291</v>
      </c>
      <c r="L2" s="192" t="s">
        <v>257</v>
      </c>
    </row>
    <row r="3" spans="1:12" ht="14.7" customHeight="1" x14ac:dyDescent="0.4">
      <c r="A3" s="263"/>
      <c r="B3" s="108">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62">
        <v>9364499</v>
      </c>
      <c r="I3" s="21">
        <f>VLOOKUP(C3,'Project Status'!C:R,16,FALSE)</f>
        <v>17500</v>
      </c>
      <c r="K3" s="173">
        <f>SUM(I3:J3)</f>
        <v>17500</v>
      </c>
      <c r="L3" s="196"/>
    </row>
    <row r="4" spans="1:12" x14ac:dyDescent="0.4">
      <c r="A4" s="263"/>
      <c r="B4" s="108">
        <v>2</v>
      </c>
      <c r="C4">
        <v>10098</v>
      </c>
      <c r="D4" t="str">
        <f>VLOOKUP(C4,'Project Status'!C:H,6,FALSE)</f>
        <v>MRB III BIO/SCI</v>
      </c>
      <c r="E4" t="str">
        <f>VLOOKUP(C4,'Project Status'!C:I,7,FALSE)</f>
        <v>MRB III - 4th Floor - Replace Controls (Phase 2)</v>
      </c>
      <c r="F4" t="s">
        <v>234</v>
      </c>
      <c r="G4" t="str">
        <f>VLOOKUP(C4,'Project Status'!C:K,9,FALSE)</f>
        <v>Hans Mooy</v>
      </c>
      <c r="H4" s="262"/>
      <c r="I4" s="21">
        <f>VLOOKUP(C4,'Project Status'!C:R,16,FALSE)</f>
        <v>1216485.5</v>
      </c>
      <c r="K4" s="173">
        <f t="shared" ref="K4:K31" si="0">SUM(I4:J4)</f>
        <v>1216485.5</v>
      </c>
      <c r="L4" s="196"/>
    </row>
    <row r="5" spans="1:12" x14ac:dyDescent="0.4">
      <c r="A5" s="263"/>
      <c r="B5" s="108">
        <v>3</v>
      </c>
      <c r="C5">
        <v>10146</v>
      </c>
      <c r="D5" t="str">
        <f>VLOOKUP(C5,'Project Status'!C:H,6,FALSE)</f>
        <v>GODCHAUX HALL</v>
      </c>
      <c r="E5" t="str">
        <f>VLOOKUP(C5,'Project Status'!C:I,7,FALSE)</f>
        <v>Godchaux Hall - HVAC Upgrade</v>
      </c>
      <c r="F5" t="s">
        <v>100</v>
      </c>
      <c r="G5" t="str">
        <f>VLOOKUP(C5,'Project Status'!C:K,9,FALSE)</f>
        <v>Sean Rewers</v>
      </c>
      <c r="H5" s="262"/>
      <c r="I5" s="21">
        <f>VLOOKUP(C5,'Project Status'!C:R,16,FALSE)</f>
        <v>4900</v>
      </c>
      <c r="K5" s="173">
        <f t="shared" si="0"/>
        <v>4900</v>
      </c>
      <c r="L5" s="196"/>
    </row>
    <row r="6" spans="1:12" x14ac:dyDescent="0.4">
      <c r="A6" s="263"/>
      <c r="B6" s="108">
        <v>4</v>
      </c>
      <c r="C6">
        <v>20179</v>
      </c>
      <c r="D6" t="str">
        <f>VLOOKUP(C6,'Project Status'!C:H,6,FALSE)</f>
        <v>LAW SCHOOL</v>
      </c>
      <c r="E6" t="str">
        <f>VLOOKUP(C6,'Project Status'!C:I,7,FALSE)</f>
        <v>Law School - Fire Alarm System Replacement</v>
      </c>
      <c r="F6" t="s">
        <v>234</v>
      </c>
      <c r="G6" t="str">
        <f>VLOOKUP(C6,'Project Status'!C:K,9,FALSE)</f>
        <v>Bob Grummon</v>
      </c>
      <c r="H6" s="262"/>
      <c r="I6" s="21">
        <f>VLOOKUP(C6,'Project Status'!C:R,16,FALSE)</f>
        <v>722694.5</v>
      </c>
      <c r="K6" s="173">
        <f t="shared" si="0"/>
        <v>722694.5</v>
      </c>
      <c r="L6" s="196"/>
    </row>
    <row r="7" spans="1:12" x14ac:dyDescent="0.4">
      <c r="A7" s="263"/>
      <c r="B7" s="108">
        <v>5</v>
      </c>
      <c r="C7">
        <v>20336</v>
      </c>
      <c r="D7" t="str">
        <f>VLOOKUP(C7,'Project Status'!C:H,6,FALSE)</f>
        <v>BLAIR SCHOOL OF MUSIC</v>
      </c>
      <c r="E7" t="str">
        <f>VLOOKUP(C7,'Project Status'!C:I,7,FALSE)</f>
        <v>Blair School of Music - Elevator #3 Modernization</v>
      </c>
      <c r="F7" t="s">
        <v>101</v>
      </c>
      <c r="G7" t="str">
        <f>VLOOKUP(C7,'Project Status'!C:K,9,FALSE)</f>
        <v>Ben Bedock</v>
      </c>
      <c r="H7" s="262"/>
      <c r="I7" s="21">
        <f>VLOOKUP(C7,'Project Status'!C:R,16,FALSE)</f>
        <v>327890</v>
      </c>
      <c r="K7" s="173">
        <f t="shared" si="0"/>
        <v>327890</v>
      </c>
      <c r="L7" s="196"/>
    </row>
    <row r="8" spans="1:12" x14ac:dyDescent="0.4">
      <c r="A8" s="263"/>
      <c r="B8" s="108">
        <v>6</v>
      </c>
      <c r="C8">
        <v>20431</v>
      </c>
      <c r="D8" t="str">
        <f>VLOOKUP(C8,'Project Status'!C:H,6,FALSE)</f>
        <v>DIVINITY</v>
      </c>
      <c r="E8" t="str">
        <f>VLOOKUP(C8,'Project Status'!C:I,7,FALSE)</f>
        <v>Divinity Air Handling Unit Replacement, (5/6)- Phase 1</v>
      </c>
      <c r="F8" t="s">
        <v>101</v>
      </c>
      <c r="G8" t="str">
        <f>VLOOKUP(C8,'Project Status'!C:K,9,FALSE)</f>
        <v>Hans Mooy</v>
      </c>
      <c r="H8" s="262"/>
      <c r="I8" s="21">
        <f>VLOOKUP(C8,'Project Status'!C:R,16,FALSE)</f>
        <v>69862.5</v>
      </c>
      <c r="K8" s="173">
        <f t="shared" si="0"/>
        <v>69862.5</v>
      </c>
      <c r="L8" s="196"/>
    </row>
    <row r="9" spans="1:12" x14ac:dyDescent="0.4">
      <c r="A9" s="263"/>
      <c r="B9" s="108">
        <v>7</v>
      </c>
      <c r="C9">
        <v>20478</v>
      </c>
      <c r="D9" t="str">
        <f>VLOOKUP(C9,'Project Status'!C:H,6,FALSE)</f>
        <v>BRYAN BLDG</v>
      </c>
      <c r="E9" t="str">
        <f>VLOOKUP(C9,'Project Status'!C:I,7,FALSE)</f>
        <v>Bryan Building - Swing Space Renovation - A&amp;S Planning</v>
      </c>
      <c r="F9" t="s">
        <v>224</v>
      </c>
      <c r="G9" t="str">
        <f>VLOOKUP(C9,'Project Status'!C:K,9,FALSE)</f>
        <v>Cathy Bartlett</v>
      </c>
      <c r="H9" s="262"/>
      <c r="I9" s="21">
        <f>VLOOKUP(C9,'Project Status'!C:R,16,FALSE)</f>
        <v>81100</v>
      </c>
      <c r="K9" s="173">
        <f t="shared" si="0"/>
        <v>81100</v>
      </c>
      <c r="L9" s="196"/>
    </row>
    <row r="10" spans="1:12" x14ac:dyDescent="0.4">
      <c r="A10" s="263"/>
      <c r="B10" s="108">
        <v>8</v>
      </c>
      <c r="C10">
        <v>20489</v>
      </c>
      <c r="D10" t="str">
        <f>VLOOKUP(C10,'Project Status'!C:H,6,FALSE)</f>
        <v>DIVINITY</v>
      </c>
      <c r="E10" t="str">
        <f>VLOOKUP(C10,'Project Status'!C:I,7,FALSE)</f>
        <v>Divinity Air Handling Unit Replacement, (1/3) - Phase 2 with Benton</v>
      </c>
      <c r="F10" t="s">
        <v>100</v>
      </c>
      <c r="G10" t="str">
        <f>VLOOKUP(C10,'Project Status'!C:K,9,FALSE)</f>
        <v>Hans Mooy</v>
      </c>
      <c r="H10" s="262"/>
      <c r="I10" s="21">
        <f>VLOOKUP(C10,'Project Status'!C:R,16,FALSE)</f>
        <v>26500</v>
      </c>
      <c r="K10" s="173">
        <f t="shared" si="0"/>
        <v>26500</v>
      </c>
      <c r="L10" s="196"/>
    </row>
    <row r="11" spans="1:12" x14ac:dyDescent="0.4">
      <c r="A11" s="263"/>
      <c r="B11" s="108">
        <v>9</v>
      </c>
      <c r="C11">
        <v>20497</v>
      </c>
      <c r="D11" t="str">
        <f>VLOOKUP(C11,'Project Status'!C:H,6,FALSE)</f>
        <v>JESUP PSYCHOLOGY</v>
      </c>
      <c r="E11" t="str">
        <f>VLOOKUP(C11,'Project Status'!C:I,7,FALSE)</f>
        <v>Jesup - Roof Replacement</v>
      </c>
      <c r="F11" t="s">
        <v>101</v>
      </c>
      <c r="G11" t="str">
        <f>VLOOKUP(C11,'Project Status'!C:K,9,FALSE)</f>
        <v>Ben Bedock</v>
      </c>
      <c r="H11" s="262"/>
      <c r="I11" s="21">
        <f>VLOOKUP(C11,'Project Status'!C:R,16,FALSE)</f>
        <v>79415.5</v>
      </c>
      <c r="K11" s="173">
        <f t="shared" si="0"/>
        <v>79415.5</v>
      </c>
      <c r="L11" s="196"/>
    </row>
    <row r="12" spans="1:12" x14ac:dyDescent="0.4">
      <c r="A12" s="263"/>
      <c r="B12" s="108">
        <v>10</v>
      </c>
      <c r="C12">
        <v>20506</v>
      </c>
      <c r="D12" t="str">
        <f>VLOOKUP(C12,'Project Status'!C:H,6,FALSE)</f>
        <v>WYATT CENTER</v>
      </c>
      <c r="E12" t="str">
        <f>VLOOKUP(C12,'Project Status'!C:I,7,FALSE)</f>
        <v>Wyatt Center - Window Replacement</v>
      </c>
      <c r="F12" t="s">
        <v>101</v>
      </c>
      <c r="G12" t="str">
        <f>VLOOKUP(C12,'Project Status'!C:K,9,FALSE)</f>
        <v>Ben Bedock</v>
      </c>
      <c r="H12" s="262"/>
      <c r="I12" s="21">
        <f>VLOOKUP(C12,'Project Status'!C:R,16,FALSE)</f>
        <v>344155.26</v>
      </c>
      <c r="K12" s="173">
        <f t="shared" si="0"/>
        <v>344155.26</v>
      </c>
      <c r="L12" s="196"/>
    </row>
    <row r="13" spans="1:12" x14ac:dyDescent="0.4">
      <c r="A13" s="263"/>
      <c r="B13" s="108">
        <v>11</v>
      </c>
      <c r="C13">
        <v>20562</v>
      </c>
      <c r="D13" t="str">
        <f>VLOOKUP(C13,'Project Status'!C:H,6,FALSE)</f>
        <v>WYATT CENTER</v>
      </c>
      <c r="E13" t="str">
        <f>VLOOKUP(C13,'Project Status'!C:I,7,FALSE)</f>
        <v>Wyatt Center - VAV Replacement</v>
      </c>
      <c r="F13" t="s">
        <v>101</v>
      </c>
      <c r="G13" t="str">
        <f>VLOOKUP(C13,'Project Status'!C:K,9,FALSE)</f>
        <v>Sean Rewers</v>
      </c>
      <c r="H13" s="262"/>
      <c r="I13" s="21">
        <f>VLOOKUP(C13,'Project Status'!C:R,16,FALSE)</f>
        <v>405791</v>
      </c>
      <c r="K13" s="173">
        <f t="shared" si="0"/>
        <v>405791</v>
      </c>
      <c r="L13" s="196"/>
    </row>
    <row r="14" spans="1:12" x14ac:dyDescent="0.4">
      <c r="A14" s="263"/>
      <c r="B14" s="108">
        <v>12</v>
      </c>
      <c r="C14">
        <v>20566</v>
      </c>
      <c r="D14" t="str">
        <f>VLOOKUP(C14,'Project Status'!C:H,6,FALSE)</f>
        <v>SC CHEMISTRY</v>
      </c>
      <c r="E14" t="str">
        <f>VLOOKUP(C14,'Project Status'!C:I,7,FALSE)</f>
        <v>SC Chemistry (SC7) - Elevator 1 &amp; 2 Modernization</v>
      </c>
      <c r="F14" t="s">
        <v>101</v>
      </c>
      <c r="G14" t="str">
        <f>VLOOKUP(C14,'Project Status'!C:K,9,FALSE)</f>
        <v>Ben Bedock</v>
      </c>
      <c r="H14" s="262"/>
      <c r="I14" s="21">
        <f>VLOOKUP(C14,'Project Status'!C:R,16,FALSE)</f>
        <v>781870</v>
      </c>
      <c r="K14" s="173">
        <f t="shared" si="0"/>
        <v>781870</v>
      </c>
      <c r="L14" s="196"/>
    </row>
    <row r="15" spans="1:12" x14ac:dyDescent="0.4">
      <c r="A15" s="263"/>
      <c r="B15" s="108">
        <v>13</v>
      </c>
      <c r="C15">
        <v>20573</v>
      </c>
      <c r="D15" t="str">
        <f>VLOOKUP(C15,'Project Status'!C:H,6,FALSE)</f>
        <v>WYATT CENTER</v>
      </c>
      <c r="E15" t="str">
        <f>VLOOKUP(C15,'Project Status'!C:I,7,FALSE)</f>
        <v>Wyatt Center - Roof Replacement</v>
      </c>
      <c r="F15" t="s">
        <v>101</v>
      </c>
      <c r="G15" t="str">
        <f>VLOOKUP(C15,'Project Status'!C:K,9,FALSE)</f>
        <v>Ben Bedock</v>
      </c>
      <c r="H15" s="262"/>
      <c r="I15" s="21">
        <f>VLOOKUP(C15,'Project Status'!C:R,16,FALSE)</f>
        <v>1232681</v>
      </c>
      <c r="K15" s="173">
        <f t="shared" si="0"/>
        <v>1232681</v>
      </c>
      <c r="L15" s="196"/>
    </row>
    <row r="16" spans="1:12" x14ac:dyDescent="0.4">
      <c r="A16" s="263"/>
      <c r="B16" s="108">
        <v>14</v>
      </c>
      <c r="C16">
        <v>20574</v>
      </c>
      <c r="D16" t="str">
        <f>VLOOKUP(C16,'Project Status'!C:H,6,FALSE)</f>
        <v>MRB III BIO/SCI</v>
      </c>
      <c r="E16" t="str">
        <f>VLOOKUP(C16,'Project Status'!C:I,7,FALSE)</f>
        <v>MRB III - Steam Coil Replacement</v>
      </c>
      <c r="F16" t="s">
        <v>101</v>
      </c>
      <c r="G16" t="str">
        <f>VLOOKUP(C16,'Project Status'!C:K,9,FALSE)</f>
        <v>Sean Rewers</v>
      </c>
      <c r="H16" s="262"/>
      <c r="I16" s="21">
        <f>VLOOKUP(C16,'Project Status'!C:R,16,FALSE)</f>
        <v>218202</v>
      </c>
      <c r="K16" s="173">
        <f t="shared" si="0"/>
        <v>218202</v>
      </c>
      <c r="L16" s="196"/>
    </row>
    <row r="17" spans="1:12" x14ac:dyDescent="0.4">
      <c r="A17" s="263"/>
      <c r="B17" s="108">
        <v>15</v>
      </c>
      <c r="C17">
        <v>20577</v>
      </c>
      <c r="D17" t="str">
        <f>VLOOKUP(C17,'Project Status'!C:H,6,FALSE)</f>
        <v>BLAIR SCHOOL OF MUSIC</v>
      </c>
      <c r="E17" t="str">
        <f>VLOOKUP(C17,'Project Status'!C:I,7,FALSE)</f>
        <v>Blair School of Music - Air Handling Unit Replacement -Phase 1</v>
      </c>
      <c r="F17" t="s">
        <v>100</v>
      </c>
      <c r="G17" t="str">
        <f>VLOOKUP(C17,'Project Status'!C:K,9,FALSE)</f>
        <v>Hans Mooy</v>
      </c>
      <c r="H17" s="262"/>
      <c r="I17" s="21">
        <f>VLOOKUP(C17,'Project Status'!C:R,16,FALSE)</f>
        <v>223000</v>
      </c>
      <c r="K17" s="173">
        <f t="shared" si="0"/>
        <v>223000</v>
      </c>
      <c r="L17" s="196"/>
    </row>
    <row r="18" spans="1:12" x14ac:dyDescent="0.4">
      <c r="A18" s="263"/>
      <c r="B18" s="108">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62"/>
      <c r="I18" s="21">
        <f>VLOOKUP(C18,'Project Status'!C:R,16,FALSE)</f>
        <v>630554</v>
      </c>
      <c r="K18" s="173">
        <f t="shared" si="0"/>
        <v>630554</v>
      </c>
      <c r="L18" s="196"/>
    </row>
    <row r="19" spans="1:12" x14ac:dyDescent="0.4">
      <c r="A19" s="263"/>
      <c r="B19" s="108">
        <v>17</v>
      </c>
      <c r="C19">
        <v>20645</v>
      </c>
      <c r="D19" t="str">
        <f>VLOOKUP(C19,'Project Status'!C:H,6,FALSE)</f>
        <v>BENSON OLD CENTRAL</v>
      </c>
      <c r="E19" t="str">
        <f>VLOOKUP(C19,'Project Status'!C:I,7,FALSE)</f>
        <v>Benson Old Central - Replace Soffit and Doors</v>
      </c>
      <c r="F19" t="s">
        <v>178</v>
      </c>
      <c r="G19" t="str">
        <f>VLOOKUP(C19,'Project Status'!C:K,9,FALSE)</f>
        <v>Ben Bedock</v>
      </c>
      <c r="H19" s="262"/>
      <c r="I19" s="21">
        <f>VLOOKUP(C19,'Project Status'!C:R,16,FALSE)</f>
        <v>125875</v>
      </c>
      <c r="K19" s="173">
        <f t="shared" si="0"/>
        <v>125875</v>
      </c>
      <c r="L19" s="196"/>
    </row>
    <row r="20" spans="1:12" x14ac:dyDescent="0.4">
      <c r="A20" s="263"/>
      <c r="B20" s="108">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62"/>
      <c r="I20" s="21">
        <f>VLOOKUP(C20,'Project Status'!C:R,16,FALSE)</f>
        <v>146500</v>
      </c>
      <c r="K20" s="173">
        <f t="shared" si="0"/>
        <v>146500</v>
      </c>
      <c r="L20" s="196"/>
    </row>
    <row r="21" spans="1:12" x14ac:dyDescent="0.4">
      <c r="A21" s="263"/>
      <c r="B21" s="108">
        <v>19</v>
      </c>
      <c r="C21">
        <v>20668</v>
      </c>
      <c r="D21" t="str">
        <f>VLOOKUP(C21,'Project Status'!C:H,6,FALSE)</f>
        <v>KECK FREE ELECTRON LASER CTR</v>
      </c>
      <c r="E21" t="str">
        <f>VLOOKUP(C21,'Project Status'!C:I,7,FALSE)</f>
        <v>Keck FEL - Mechanical Upgrades</v>
      </c>
      <c r="F21" t="s">
        <v>100</v>
      </c>
      <c r="G21" t="str">
        <f>VLOOKUP(C21,'Project Status'!C:K,9,FALSE)</f>
        <v>Sean Rewers</v>
      </c>
      <c r="H21" s="262"/>
      <c r="I21" s="21">
        <f>VLOOKUP(C21,'Project Status'!C:R,16,FALSE)</f>
        <v>206500</v>
      </c>
      <c r="K21" s="173">
        <f t="shared" si="0"/>
        <v>206500</v>
      </c>
      <c r="L21" s="196"/>
    </row>
    <row r="22" spans="1:12" x14ac:dyDescent="0.4">
      <c r="A22" s="263"/>
      <c r="B22" s="108">
        <v>20</v>
      </c>
      <c r="C22">
        <v>20698</v>
      </c>
      <c r="D22" t="str">
        <f>VLOOKUP(C22,'Project Status'!C:H,6,FALSE)</f>
        <v>WILSON HALL</v>
      </c>
      <c r="E22" t="str">
        <f>VLOOKUP(C22,'Project Status'!C:I,7,FALSE)</f>
        <v>Wilson Hall - Fire Alarm Replacement</v>
      </c>
      <c r="F22" t="s">
        <v>100</v>
      </c>
      <c r="G22" t="str">
        <f>VLOOKUP(C22,'Project Status'!C:K,9,FALSE)</f>
        <v>Sean Rewers</v>
      </c>
      <c r="H22" s="262"/>
      <c r="I22" s="21">
        <f>VLOOKUP(C22,'Project Status'!C:R,16,FALSE)</f>
        <v>29250</v>
      </c>
      <c r="K22" s="173">
        <f t="shared" si="0"/>
        <v>29250</v>
      </c>
      <c r="L22" s="196"/>
    </row>
    <row r="23" spans="1:12" x14ac:dyDescent="0.4">
      <c r="A23" s="263"/>
      <c r="B23" s="108">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62"/>
      <c r="I23" s="21">
        <f>VLOOKUP(C23,'Project Status'!C:R,16,FALSE)</f>
        <v>79623</v>
      </c>
      <c r="K23" s="173">
        <f t="shared" si="0"/>
        <v>79623</v>
      </c>
      <c r="L23" s="196"/>
    </row>
    <row r="24" spans="1:12" x14ac:dyDescent="0.4">
      <c r="A24" s="263"/>
      <c r="B24" s="108">
        <v>22</v>
      </c>
      <c r="C24">
        <v>20701</v>
      </c>
      <c r="D24" t="str">
        <f>VLOOKUP(C24,'Project Status'!C:H,6,FALSE)</f>
        <v>SC SCIENCE &amp; ENGINEERING</v>
      </c>
      <c r="E24" t="str">
        <f>VLOOKUP(C24,'Project Status'!C:I,7,FALSE)</f>
        <v>SC-5 - Chemical Discharge Replacement</v>
      </c>
      <c r="F24" t="s">
        <v>178</v>
      </c>
      <c r="G24" t="str">
        <f>VLOOKUP(C24,'Project Status'!C:K,9,FALSE)</f>
        <v>Sean Rewers</v>
      </c>
      <c r="H24" s="262"/>
      <c r="I24" s="21">
        <f>VLOOKUP(C24,'Project Status'!C:R,16,FALSE)</f>
        <v>499093</v>
      </c>
      <c r="K24" s="173">
        <f t="shared" si="0"/>
        <v>499093</v>
      </c>
      <c r="L24" s="196"/>
    </row>
    <row r="25" spans="1:12" x14ac:dyDescent="0.4">
      <c r="A25" s="263"/>
      <c r="B25" s="108">
        <v>23</v>
      </c>
      <c r="C25">
        <v>20702</v>
      </c>
      <c r="D25" t="str">
        <f>VLOOKUP(C25,'Project Status'!C:H,6,FALSE)</f>
        <v>WYATT CENTER</v>
      </c>
      <c r="E25" t="str">
        <f>VLOOKUP(C25,'Project Status'!C:I,7,FALSE)</f>
        <v>Wyatt Center - Elevator #2 Modernization</v>
      </c>
      <c r="F25" t="s">
        <v>101</v>
      </c>
      <c r="G25" t="str">
        <f>VLOOKUP(C25,'Project Status'!C:K,9,FALSE)</f>
        <v>Ben Bedock</v>
      </c>
      <c r="H25" s="262"/>
      <c r="I25" s="21">
        <f>VLOOKUP(C25,'Project Status'!C:R,16,FALSE)</f>
        <v>239341</v>
      </c>
      <c r="K25" s="173">
        <f t="shared" si="0"/>
        <v>239341</v>
      </c>
      <c r="L25" s="196"/>
    </row>
    <row r="26" spans="1:12" x14ac:dyDescent="0.4">
      <c r="A26" s="263"/>
      <c r="B26" s="108">
        <v>24</v>
      </c>
      <c r="C26">
        <v>20718</v>
      </c>
      <c r="D26" t="str">
        <f>VLOOKUP(C26,'Project Status'!C:H,6,FALSE)</f>
        <v>BUTTRICK HALL</v>
      </c>
      <c r="E26" t="str">
        <f>VLOOKUP(C26,'Project Status'!C:I,7,FALSE)</f>
        <v>Buttrick Hall - 3rd Floor Inequality Renovations</v>
      </c>
      <c r="F26" t="s">
        <v>101</v>
      </c>
      <c r="G26" t="str">
        <f>VLOOKUP(C26,'Project Status'!C:K,9,FALSE)</f>
        <v>Erin Fry</v>
      </c>
      <c r="H26" s="262"/>
      <c r="I26" s="21">
        <f>VLOOKUP(C26,'Project Status'!C:R,16,FALSE)</f>
        <v>96166</v>
      </c>
      <c r="K26" s="173">
        <f t="shared" si="0"/>
        <v>96166</v>
      </c>
      <c r="L26" s="196"/>
    </row>
    <row r="27" spans="1:12" x14ac:dyDescent="0.4">
      <c r="A27" s="263"/>
      <c r="B27" s="108">
        <v>25</v>
      </c>
      <c r="C27">
        <v>20723</v>
      </c>
      <c r="D27" t="str">
        <f>VLOOKUP(C27,'Project Status'!C:H,6,FALSE)</f>
        <v>MRB III BIO/SCI</v>
      </c>
      <c r="E27" t="str">
        <f>VLOOKUP(C27,'Project Status'!C:I,7,FALSE)</f>
        <v>MRB III - 9th Floor (with 4 ,5 &amp; 8) - Replace Controls (Phase 3)</v>
      </c>
      <c r="F27" t="s">
        <v>109</v>
      </c>
      <c r="G27" t="str">
        <f>VLOOKUP(C27,'Project Status'!C:K,9,FALSE)</f>
        <v>Andy Maddox</v>
      </c>
      <c r="H27" s="262"/>
      <c r="I27" s="21">
        <f>VLOOKUP(C27,'Project Status'!C:R,16,FALSE)</f>
        <v>160500</v>
      </c>
      <c r="K27" s="173">
        <f t="shared" si="0"/>
        <v>160500</v>
      </c>
      <c r="L27" s="196"/>
    </row>
    <row r="28" spans="1:12" x14ac:dyDescent="0.4">
      <c r="A28" s="263"/>
      <c r="B28" s="108">
        <v>26</v>
      </c>
      <c r="C28">
        <v>20724</v>
      </c>
      <c r="D28" t="str">
        <f>VLOOKUP(C28,'Project Status'!C:H,6,FALSE)</f>
        <v>BLAIR SCHOOL OF MUSIC</v>
      </c>
      <c r="E28" t="str">
        <f>VLOOKUP(C28,'Project Status'!C:I,7,FALSE)</f>
        <v>Blair School of Music - Steam Line</v>
      </c>
      <c r="F28" t="s">
        <v>100</v>
      </c>
      <c r="G28" t="str">
        <f>VLOOKUP(C28,'Project Status'!C:K,9,FALSE)</f>
        <v>Hans Mooy</v>
      </c>
      <c r="H28" s="262"/>
      <c r="I28" s="21">
        <f>VLOOKUP(C28,'Project Status'!C:R,16,FALSE)</f>
        <v>23400</v>
      </c>
      <c r="K28" s="173">
        <f t="shared" si="0"/>
        <v>23400</v>
      </c>
      <c r="L28" s="196"/>
    </row>
    <row r="29" spans="1:12" x14ac:dyDescent="0.4">
      <c r="A29" s="263"/>
      <c r="B29" s="108">
        <v>27</v>
      </c>
      <c r="C29">
        <v>20735</v>
      </c>
      <c r="D29" t="str">
        <f>VLOOKUP(C29,'Project Status'!C:H,6,FALSE)</f>
        <v>OWEN GRAD MGMT</v>
      </c>
      <c r="E29" t="str">
        <f>VLOOKUP(C29,'Project Status'!C:I,7,FALSE)</f>
        <v>Owen - Roof Replacement (Third Level)</v>
      </c>
      <c r="F29" t="s">
        <v>101</v>
      </c>
      <c r="G29" t="str">
        <f>VLOOKUP(C29,'Project Status'!C:K,9,FALSE)</f>
        <v>Ben Bedock</v>
      </c>
      <c r="H29" s="262"/>
      <c r="I29" s="21">
        <f>VLOOKUP(C29,'Project Status'!C:R,16,FALSE)</f>
        <v>300000</v>
      </c>
      <c r="K29" s="173">
        <f t="shared" si="0"/>
        <v>300000</v>
      </c>
      <c r="L29" s="196"/>
    </row>
    <row r="30" spans="1:12" x14ac:dyDescent="0.4">
      <c r="A30" s="263"/>
      <c r="B30" s="108">
        <v>28</v>
      </c>
      <c r="C30">
        <v>20771</v>
      </c>
      <c r="D30" t="str">
        <f>VLOOKUP(C30,'Project Status'!C:H,6,FALSE)</f>
        <v>SC CHEMISTRY</v>
      </c>
      <c r="E30" t="str">
        <f>VLOOKUP(C30,'Project Status'!C:I,7,FALSE)</f>
        <v>SC4 - Interstitial Space HVAC Modifications</v>
      </c>
      <c r="F30" t="s">
        <v>101</v>
      </c>
      <c r="G30" t="str">
        <f>VLOOKUP(C30,'Project Status'!C:K,9,FALSE)</f>
        <v>Sean Rewers</v>
      </c>
      <c r="H30" s="262"/>
      <c r="I30" s="21">
        <f>VLOOKUP(C30,'Project Status'!C:R,16,FALSE)</f>
        <v>24997</v>
      </c>
      <c r="K30" s="173">
        <f t="shared" si="0"/>
        <v>24997</v>
      </c>
      <c r="L30" s="196"/>
    </row>
    <row r="31" spans="1:12" x14ac:dyDescent="0.4">
      <c r="A31" s="263"/>
      <c r="B31" s="108">
        <v>29</v>
      </c>
      <c r="C31">
        <v>20792</v>
      </c>
      <c r="D31" t="str">
        <f>VLOOKUP(C31,'Project Status'!C:H,6,FALSE)</f>
        <v>LAW SCHOOL</v>
      </c>
      <c r="E31" t="str">
        <f>VLOOKUP(C31,'Project Status'!C:I,7,FALSE)</f>
        <v>Law School - Sections 1, 2, &amp; 3  Roof Replacement</v>
      </c>
      <c r="F31" t="s">
        <v>178</v>
      </c>
      <c r="G31" t="str">
        <f>VLOOKUP(C31,'Project Status'!C:K,9,FALSE)</f>
        <v>Ben Bedock</v>
      </c>
      <c r="H31" s="262"/>
      <c r="I31" s="21">
        <f>VLOOKUP(C31,'Project Status'!C:R,16,FALSE)</f>
        <v>483440</v>
      </c>
      <c r="K31" s="173">
        <f t="shared" si="0"/>
        <v>483440</v>
      </c>
      <c r="L31" s="196"/>
    </row>
    <row r="32" spans="1:12" x14ac:dyDescent="0.4">
      <c r="H32" s="262"/>
      <c r="I32" s="176">
        <f t="shared" ref="I32:J32" si="1">SUM(I3:I31)</f>
        <v>8797286.2599999998</v>
      </c>
      <c r="J32" s="176">
        <f t="shared" si="1"/>
        <v>0</v>
      </c>
      <c r="K32" s="176">
        <f>SUM(K3:K31)</f>
        <v>8797286.2599999998</v>
      </c>
      <c r="L32" s="176">
        <f>H3-K32</f>
        <v>567212.74000000022</v>
      </c>
    </row>
    <row r="34" spans="1:14" x14ac:dyDescent="0.4">
      <c r="A34" s="264" t="s">
        <v>293</v>
      </c>
      <c r="B34" s="177"/>
      <c r="C34" s="177" t="s">
        <v>125</v>
      </c>
      <c r="D34" s="177" t="s">
        <v>114</v>
      </c>
      <c r="E34" s="177" t="s">
        <v>87</v>
      </c>
      <c r="F34" s="177" t="s">
        <v>128</v>
      </c>
      <c r="G34" s="177" t="s">
        <v>129</v>
      </c>
      <c r="H34" s="186" t="s">
        <v>294</v>
      </c>
      <c r="I34" s="178" t="s">
        <v>256</v>
      </c>
      <c r="J34" s="178" t="s">
        <v>292</v>
      </c>
      <c r="K34" s="190" t="s">
        <v>291</v>
      </c>
      <c r="L34" s="189" t="s">
        <v>257</v>
      </c>
    </row>
    <row r="35" spans="1:14" ht="14.7" customHeight="1" x14ac:dyDescent="0.4">
      <c r="A35" s="264"/>
      <c r="B35" s="108">
        <v>1</v>
      </c>
      <c r="C35">
        <v>20431</v>
      </c>
      <c r="D35" t="str">
        <f>VLOOKUP(C35,'Project Status'!C:H,6,FALSE)</f>
        <v>DIVINITY</v>
      </c>
      <c r="E35" s="3" t="str">
        <f>VLOOKUP(C35,'Project Status'!C:I,7,FALSE)</f>
        <v>Divinity Air Handling Unit Replacement, (5/6)- Phase 1</v>
      </c>
      <c r="F35" s="3" t="str">
        <f>VLOOKUP(C35,'Project Status'!C:J,8,FALSE)</f>
        <v>Construction</v>
      </c>
      <c r="G35" s="3" t="str">
        <f>VLOOKUP(C35,'Project Status'!C:K,9,FALSE)</f>
        <v>Hans Mooy</v>
      </c>
      <c r="H35" s="266">
        <f>Contributions!G14</f>
        <v>11029283.289999999</v>
      </c>
      <c r="I35" s="250">
        <f>VLOOKUP(C35,'Project Status'!C:S,17,FALSE)</f>
        <v>3660360</v>
      </c>
      <c r="J35" s="226">
        <f>VLOOKUP(C35,'Project Status'!C:T,18,FALSE)</f>
        <v>0</v>
      </c>
      <c r="K35" s="181">
        <f t="shared" ref="K35:K46" si="2">IF(J35="TBD",J35,SUM(I35:J35))</f>
        <v>3660360</v>
      </c>
      <c r="L35" s="195"/>
      <c r="M35" s="20" t="s">
        <v>372</v>
      </c>
    </row>
    <row r="36" spans="1:14" x14ac:dyDescent="0.4">
      <c r="A36" s="264"/>
      <c r="B36" s="108">
        <v>2</v>
      </c>
      <c r="C36">
        <v>20724</v>
      </c>
      <c r="D36" t="str">
        <f>VLOOKUP(C36,'Project Status'!C:H,6,FALSE)</f>
        <v>BLAIR SCHOOL OF MUSIC</v>
      </c>
      <c r="E36" s="3" t="str">
        <f>VLOOKUP(C36,'Project Status'!C:I,7,FALSE)</f>
        <v>Blair School of Music - Steam Line</v>
      </c>
      <c r="F36" s="3" t="str">
        <f>VLOOKUP(C36,'Project Status'!C:J,8,FALSE)</f>
        <v>Construction</v>
      </c>
      <c r="G36" s="3" t="str">
        <f>VLOOKUP(C36,'Project Status'!C:K,9,FALSE)</f>
        <v>Hans Mooy</v>
      </c>
      <c r="H36" s="266"/>
      <c r="I36" s="250">
        <f>VLOOKUP(C36,'Project Status'!C:S,17,FALSE)</f>
        <v>1964100</v>
      </c>
      <c r="J36" s="226">
        <f>VLOOKUP(C36,'Project Status'!C:T,18,FALSE)</f>
        <v>0</v>
      </c>
      <c r="K36" s="181">
        <f t="shared" si="2"/>
        <v>1964100</v>
      </c>
      <c r="L36" s="195"/>
    </row>
    <row r="37" spans="1:14" x14ac:dyDescent="0.4">
      <c r="A37" s="264"/>
      <c r="B37" s="108">
        <v>3</v>
      </c>
      <c r="C37">
        <v>20478</v>
      </c>
      <c r="D37" t="str">
        <f>VLOOKUP(C37,'Project Status'!C:H,6,FALSE)</f>
        <v>BRYAN BLDG</v>
      </c>
      <c r="E37" s="3" t="str">
        <f>VLOOKUP(C37,'Project Status'!C:I,7,FALSE)</f>
        <v>Bryan Building - Swing Space Renovation - A&amp;S Planning</v>
      </c>
      <c r="F37" s="3" t="str">
        <f>VLOOKUP(C37,'Project Status'!C:J,8,FALSE)</f>
        <v>Warranty or Construction Closeout</v>
      </c>
      <c r="G37" s="3" t="str">
        <f>VLOOKUP(C37,'Project Status'!C:K,9,FALSE)</f>
        <v>Cathy Bartlett</v>
      </c>
      <c r="H37" s="266"/>
      <c r="I37" s="250">
        <f>VLOOKUP(C37,'Project Status'!C:S,17,FALSE)</f>
        <v>1028900</v>
      </c>
      <c r="J37" s="226">
        <f>VLOOKUP(C37,'Project Status'!C:T,18,FALSE)</f>
        <v>0</v>
      </c>
      <c r="K37" s="181">
        <f t="shared" si="2"/>
        <v>1028900</v>
      </c>
      <c r="L37" s="195"/>
    </row>
    <row r="38" spans="1:14" x14ac:dyDescent="0.4">
      <c r="A38" s="264"/>
      <c r="B38" s="108">
        <v>4</v>
      </c>
      <c r="C38">
        <v>20831</v>
      </c>
      <c r="D38" t="str">
        <f>VLOOKUP(C38,'Project Status'!C:H,6,FALSE)</f>
        <v>SC PHYSICS &amp; ASTRONOMY</v>
      </c>
      <c r="E38" s="3" t="str">
        <f>VLOOKUP(C38,'Project Status'!C:I,7,FALSE)</f>
        <v>SC6 - HVAC Upgrades - Feasibility Study</v>
      </c>
      <c r="F38" s="3" t="str">
        <f>VLOOKUP(C38,'Project Status'!C:J,8,FALSE)</f>
        <v>Design</v>
      </c>
      <c r="G38" s="3" t="str">
        <f>VLOOKUP(C38,'Project Status'!C:K,9,FALSE)</f>
        <v>Sean Rewers</v>
      </c>
      <c r="H38" s="266"/>
      <c r="I38" s="250">
        <f>VLOOKUP(C38,'Project Status'!C:S,17,FALSE)</f>
        <v>24000</v>
      </c>
      <c r="J38" s="226">
        <f>VLOOKUP(C38,'Project Status'!C:T,18,FALSE)</f>
        <v>0</v>
      </c>
      <c r="K38" s="181">
        <f t="shared" si="2"/>
        <v>24000</v>
      </c>
      <c r="L38" s="195"/>
    </row>
    <row r="39" spans="1:14" x14ac:dyDescent="0.4">
      <c r="A39" s="264"/>
      <c r="B39" s="108">
        <v>5</v>
      </c>
      <c r="C39">
        <v>20832</v>
      </c>
      <c r="D39" t="str">
        <f>VLOOKUP(C39,'Project Status'!C:H,6,FALSE)</f>
        <v>WILSON HALL</v>
      </c>
      <c r="E39" s="3" t="str">
        <f>VLOOKUP(C39,'Project Status'!C:I,7,FALSE)</f>
        <v>Wilson Hall - HVAC Replacement</v>
      </c>
      <c r="F39" s="3" t="str">
        <f>VLOOKUP(C39,'Project Status'!C:J,8,FALSE)</f>
        <v>Financial Closeout</v>
      </c>
      <c r="G39" s="3" t="str">
        <f>VLOOKUP(C39,'Project Status'!C:K,9,FALSE)</f>
        <v>Sean Rewers</v>
      </c>
      <c r="H39" s="266"/>
      <c r="I39" s="250">
        <f>VLOOKUP(C39,'Project Status'!C:S,17,FALSE)</f>
        <v>24000</v>
      </c>
      <c r="J39" s="226">
        <f>VLOOKUP(C39,'Project Status'!C:T,18,FALSE)</f>
        <v>0</v>
      </c>
      <c r="K39" s="181">
        <f t="shared" si="2"/>
        <v>24000</v>
      </c>
      <c r="L39" s="195"/>
    </row>
    <row r="40" spans="1:14" x14ac:dyDescent="0.4">
      <c r="A40" s="264"/>
      <c r="B40" s="108">
        <v>6</v>
      </c>
      <c r="C40">
        <v>20833</v>
      </c>
      <c r="D40" t="str">
        <f>VLOOKUP(C40,'Project Status'!C:H,6,FALSE)</f>
        <v>SC SCIENCE &amp; ENGINEERING</v>
      </c>
      <c r="E40" s="3" t="str">
        <f>VLOOKUP(C40,'Project Status'!C:I,7,FALSE)</f>
        <v>SC5 - HVAC Replacement</v>
      </c>
      <c r="F40" s="3" t="str">
        <f>VLOOKUP(C40,'Project Status'!C:J,8,FALSE)</f>
        <v>Design</v>
      </c>
      <c r="G40" s="3" t="str">
        <f>VLOOKUP(C40,'Project Status'!C:K,9,FALSE)</f>
        <v>Sean Rewers</v>
      </c>
      <c r="H40" s="266"/>
      <c r="I40" s="250">
        <f>VLOOKUP(C40,'Project Status'!C:S,17,FALSE)</f>
        <v>24000</v>
      </c>
      <c r="J40" s="226">
        <f>VLOOKUP(C40,'Project Status'!C:T,18,FALSE)</f>
        <v>0</v>
      </c>
      <c r="K40" s="181">
        <f t="shared" si="2"/>
        <v>24000</v>
      </c>
      <c r="L40" s="195"/>
    </row>
    <row r="41" spans="1:14" x14ac:dyDescent="0.4">
      <c r="A41" s="264"/>
      <c r="B41" s="108">
        <v>7</v>
      </c>
      <c r="C41">
        <v>20700</v>
      </c>
      <c r="D41" t="str">
        <f>VLOOKUP(C41,'Project Status'!C:H,6,FALSE)</f>
        <v>SC CHEMISTRY</v>
      </c>
      <c r="E41" s="3" t="str">
        <f>VLOOKUP(C41,'Project Status'!C:I,7,FALSE)</f>
        <v>SC-7 Chemistry - SG-1 Removal and Connection to Central Plant Steam</v>
      </c>
      <c r="F41" s="3" t="str">
        <f>VLOOKUP(C41,'Project Status'!C:J,8,FALSE)</f>
        <v>Financial Closeout</v>
      </c>
      <c r="G41" s="3" t="str">
        <f>VLOOKUP(C41,'Project Status'!C:K,9,FALSE)</f>
        <v>Sean Rewers</v>
      </c>
      <c r="H41" s="266"/>
      <c r="I41" s="250">
        <f>VLOOKUP(C41,'Project Status'!C:S,17,FALSE)</f>
        <v>5954</v>
      </c>
      <c r="J41" s="226">
        <f>VLOOKUP(C41,'Project Status'!C:T,18,FALSE)</f>
        <v>0</v>
      </c>
      <c r="K41" s="181">
        <f t="shared" si="2"/>
        <v>5954</v>
      </c>
      <c r="L41" s="195"/>
    </row>
    <row r="42" spans="1:14" x14ac:dyDescent="0.4">
      <c r="A42" s="264"/>
      <c r="B42" s="108">
        <v>9</v>
      </c>
      <c r="C42">
        <v>20767</v>
      </c>
      <c r="D42" t="str">
        <f>VLOOKUP(C42,'Project Status'!C:H,6,FALSE)</f>
        <v>SIX MAGNOLIA CIRCLE</v>
      </c>
      <c r="E42" s="3" t="str">
        <f>VLOOKUP(C42,'Project Status'!C:I,7,FALSE)</f>
        <v>Six Magnolia Circle - Foundation Repairs</v>
      </c>
      <c r="F42" s="3" t="str">
        <f>VLOOKUP(C42,'Project Status'!C:J,8,FALSE)</f>
        <v>Bidding</v>
      </c>
      <c r="G42" s="3" t="str">
        <f>VLOOKUP(C42,'Project Status'!C:K,9,FALSE)</f>
        <v>Jay Surprenant</v>
      </c>
      <c r="H42" s="266"/>
      <c r="I42" s="250">
        <f>VLOOKUP(C42,'Project Status'!C:S,17,FALSE)</f>
        <v>0</v>
      </c>
      <c r="J42" s="226">
        <f>VLOOKUP(C42,'Project Status'!C:T,18,FALSE)</f>
        <v>81000</v>
      </c>
      <c r="K42" s="181">
        <f t="shared" si="2"/>
        <v>81000</v>
      </c>
      <c r="L42" s="195"/>
      <c r="N42" s="173"/>
    </row>
    <row r="43" spans="1:14" x14ac:dyDescent="0.4">
      <c r="A43" s="264"/>
      <c r="B43" s="108">
        <v>10</v>
      </c>
      <c r="C43">
        <v>20857</v>
      </c>
      <c r="D43" t="str">
        <f>VLOOKUP(C43,'Project Status'!C:H,6,FALSE)</f>
        <v>ONE MAGNOLIA CIRCLE</v>
      </c>
      <c r="E43" s="3" t="str">
        <f>VLOOKUP(C43,'Project Status'!C:I,7,FALSE)</f>
        <v>One Magnolia Circle - Elevator Modernization</v>
      </c>
      <c r="F43" s="3" t="str">
        <f>VLOOKUP(C43,'Project Status'!C:J,8,FALSE)</f>
        <v>Bidding</v>
      </c>
      <c r="G43" s="3" t="str">
        <f>VLOOKUP(C43,'Project Status'!C:K,9,FALSE)</f>
        <v>Ben Bedock</v>
      </c>
      <c r="H43" s="266"/>
      <c r="I43" s="250">
        <f>VLOOKUP(C43,'Project Status'!C:S,17,FALSE)</f>
        <v>21600</v>
      </c>
      <c r="J43" s="226">
        <f>VLOOKUP(C43,'Project Status'!C:T,18,FALSE)</f>
        <v>0</v>
      </c>
      <c r="K43" s="181">
        <f t="shared" si="2"/>
        <v>21600</v>
      </c>
      <c r="L43" s="195"/>
    </row>
    <row r="44" spans="1:14" x14ac:dyDescent="0.4">
      <c r="A44" s="264"/>
      <c r="B44" s="108">
        <v>11</v>
      </c>
      <c r="C44">
        <v>20667</v>
      </c>
      <c r="D44" t="str">
        <f>VLOOKUP(C44,'Project Status'!C:H,6,FALSE)</f>
        <v>1025 16TH AVE S</v>
      </c>
      <c r="E44" s="3" t="str">
        <f>VLOOKUP(C44,'Project Status'!C:I,7,FALSE)</f>
        <v>1025 16th Avenue - Mechanical and Electrical Upgrades</v>
      </c>
      <c r="F44" s="3" t="str">
        <f>VLOOKUP(C44,'Project Status'!C:J,8,FALSE)</f>
        <v>Design</v>
      </c>
      <c r="G44" s="3" t="str">
        <f>VLOOKUP(C44,'Project Status'!C:K,9,FALSE)</f>
        <v>Sean Rewers</v>
      </c>
      <c r="H44" s="266"/>
      <c r="I44" s="250">
        <f>VLOOKUP(C44,'Project Status'!C:S,17,FALSE)</f>
        <v>0</v>
      </c>
      <c r="J44" s="226">
        <f>VLOOKUP(C44,'Project Status'!C:T,18,FALSE)</f>
        <v>2000000</v>
      </c>
      <c r="K44" s="181">
        <f t="shared" si="2"/>
        <v>2000000</v>
      </c>
      <c r="L44" s="195"/>
    </row>
    <row r="45" spans="1:14" x14ac:dyDescent="0.4">
      <c r="A45" s="264"/>
      <c r="B45" s="108">
        <v>12</v>
      </c>
      <c r="C45">
        <v>10146</v>
      </c>
      <c r="D45" t="str">
        <f>VLOOKUP(C45,'Project Status'!C:H,6,FALSE)</f>
        <v>GODCHAUX HALL</v>
      </c>
      <c r="E45" s="3" t="str">
        <f>VLOOKUP(C45,'Project Status'!C:I,7,FALSE)</f>
        <v>Godchaux Hall - HVAC Upgrade</v>
      </c>
      <c r="F45" s="3" t="str">
        <f>VLOOKUP(C45,'Project Status'!C:J,8,FALSE)</f>
        <v>Award</v>
      </c>
      <c r="G45" s="3" t="str">
        <f>VLOOKUP(C45,'Project Status'!C:K,9,FALSE)</f>
        <v>Sean Rewers</v>
      </c>
      <c r="H45" s="266"/>
      <c r="I45" s="250">
        <f>VLOOKUP(C45,'Project Status'!C:S,17,FALSE)</f>
        <v>255957</v>
      </c>
      <c r="J45" s="226">
        <f>VLOOKUP(C45,'Project Status'!C:T,18,FALSE)</f>
        <v>0</v>
      </c>
      <c r="K45" s="181">
        <f t="shared" si="2"/>
        <v>255957</v>
      </c>
      <c r="L45" s="195"/>
    </row>
    <row r="46" spans="1:14" x14ac:dyDescent="0.4">
      <c r="A46" s="264"/>
      <c r="B46" s="108">
        <v>13</v>
      </c>
      <c r="C46">
        <v>20698</v>
      </c>
      <c r="D46" t="str">
        <f>VLOOKUP(C46,'Project Status'!C:H,6,FALSE)</f>
        <v>WILSON HALL</v>
      </c>
      <c r="E46" s="3" t="str">
        <f>VLOOKUP(C46,'Project Status'!C:I,7,FALSE)</f>
        <v>Wilson Hall - Fire Alarm Replacement</v>
      </c>
      <c r="F46" s="3" t="str">
        <f>VLOOKUP(C46,'Project Status'!C:J,8,FALSE)</f>
        <v>Award</v>
      </c>
      <c r="G46" s="3" t="str">
        <f>VLOOKUP(C46,'Project Status'!C:K,9,FALSE)</f>
        <v>Sean Rewers</v>
      </c>
      <c r="H46" s="266"/>
      <c r="I46" s="250">
        <f>VLOOKUP(C46,'Project Status'!C:S,17,FALSE)</f>
        <v>649263</v>
      </c>
      <c r="J46" s="226">
        <f>VLOOKUP(C46,'Project Status'!C:T,18,FALSE)</f>
        <v>0</v>
      </c>
      <c r="K46" s="181">
        <f t="shared" si="2"/>
        <v>649263</v>
      </c>
      <c r="L46" s="195"/>
    </row>
    <row r="47" spans="1:14" x14ac:dyDescent="0.4">
      <c r="A47" s="264"/>
      <c r="B47" s="108">
        <v>14</v>
      </c>
      <c r="C47" s="251" t="s">
        <v>384</v>
      </c>
      <c r="D47" t="str">
        <f>VLOOKUP(C47,'Project Status'!C:H,6,FALSE)</f>
        <v>LAW SCHOOL</v>
      </c>
      <c r="E47" s="3" t="str">
        <f>VLOOKUP(C47,'Project Status'!C:I,7,FALSE)</f>
        <v>Law School - Exterior Window Painting</v>
      </c>
      <c r="F47" s="3" t="str">
        <f>VLOOKUP(C47,'Project Status'!C:J,8,FALSE)</f>
        <v>Planning</v>
      </c>
      <c r="G47" s="3" t="str">
        <f>VLOOKUP(C47,'Project Status'!C:K,9,FALSE)</f>
        <v>Terry Haley</v>
      </c>
      <c r="H47" s="266"/>
      <c r="I47" s="250">
        <f>VLOOKUP(C47,'Project Status'!C:S,17,FALSE)</f>
        <v>0</v>
      </c>
      <c r="J47" s="180">
        <f>VLOOKUP(C47,'Project Status'!C:T,18,FALSE)</f>
        <v>420000</v>
      </c>
      <c r="K47" s="181">
        <f t="shared" ref="K47:K48" si="3">IF(J47="TBD",J47,SUM(I47:J47))</f>
        <v>420000</v>
      </c>
      <c r="L47" s="195"/>
    </row>
    <row r="48" spans="1:14" x14ac:dyDescent="0.4">
      <c r="A48" s="264"/>
      <c r="B48" s="108">
        <v>15</v>
      </c>
      <c r="C48">
        <v>20885</v>
      </c>
      <c r="D48" t="str">
        <f>VLOOKUP(C48,'Project Status'!C:H,6,FALSE)</f>
        <v>BIOMOLECULAR NMR</v>
      </c>
      <c r="E48" s="3" t="str">
        <f>VLOOKUP(C48,'Project Status'!C:I,7,FALSE)</f>
        <v>NMR - Replace Air Compressors</v>
      </c>
      <c r="F48" s="3" t="str">
        <f>VLOOKUP(C48,'Project Status'!C:J,8,FALSE)</f>
        <v>Bidding</v>
      </c>
      <c r="G48" s="3" t="str">
        <f>VLOOKUP(C48,'Project Status'!C:K,9,FALSE)</f>
        <v>Sean Rewers</v>
      </c>
      <c r="H48" s="266"/>
      <c r="I48" s="250">
        <f>VLOOKUP(C48,'Project Status'!C:S,17,FALSE)</f>
        <v>0</v>
      </c>
      <c r="J48" s="180">
        <f>VLOOKUP(C48,'Project Status'!C:T,18,FALSE)</f>
        <v>98341</v>
      </c>
      <c r="K48" s="181">
        <f t="shared" si="3"/>
        <v>98341</v>
      </c>
      <c r="L48" s="195"/>
    </row>
    <row r="49" spans="1:15" x14ac:dyDescent="0.4">
      <c r="A49" s="264"/>
      <c r="B49" s="108">
        <v>16</v>
      </c>
      <c r="C49">
        <v>20911</v>
      </c>
      <c r="D49" t="str">
        <f>VLOOKUP(C49,'Project Status'!C:H,6,FALSE)</f>
        <v>BUTTRICK HALL</v>
      </c>
      <c r="E49" s="3" t="str">
        <f>VLOOKUP(C49,'Project Status'!C:I,7,FALSE)</f>
        <v>Buttrick Hall - Elevator Upgrades</v>
      </c>
      <c r="F49" s="3" t="str">
        <f>VLOOKUP(C49,'Project Status'!C:J,8,FALSE)</f>
        <v>Design</v>
      </c>
      <c r="G49" s="3" t="str">
        <f>VLOOKUP(C49,'Project Status'!C:K,9,FALSE)</f>
        <v>Ben Bedock</v>
      </c>
      <c r="H49" s="266"/>
      <c r="I49" s="250">
        <f>VLOOKUP(C49,'Project Status'!C:S,17,FALSE)</f>
        <v>0</v>
      </c>
      <c r="J49" s="180">
        <f>VLOOKUP(C49,'Project Status'!C:T,18,FALSE)</f>
        <v>75000</v>
      </c>
      <c r="K49" s="181">
        <f t="shared" ref="K49:K51" si="4">IF(J49="TBD",J49,SUM(I49:J49))</f>
        <v>75000</v>
      </c>
      <c r="L49" s="195"/>
    </row>
    <row r="50" spans="1:15" x14ac:dyDescent="0.4">
      <c r="A50" s="264"/>
      <c r="B50" s="108">
        <v>17</v>
      </c>
      <c r="C50">
        <v>20912</v>
      </c>
      <c r="D50" t="str">
        <f>VLOOKUP(C50,'Project Status'!C:H,6,FALSE)</f>
        <v>BENSON OLD CENTRAL</v>
      </c>
      <c r="E50" s="3" t="str">
        <f>VLOOKUP(C50,'Project Status'!C:I,7,FALSE)</f>
        <v>Benson Hall - Elevator Upgrades</v>
      </c>
      <c r="F50" s="3" t="str">
        <f>VLOOKUP(C50,'Project Status'!C:J,8,FALSE)</f>
        <v>Design</v>
      </c>
      <c r="G50" s="3" t="str">
        <f>VLOOKUP(C50,'Project Status'!C:K,9,FALSE)</f>
        <v>Ben Bedock</v>
      </c>
      <c r="H50" s="266"/>
      <c r="I50" s="250">
        <f>VLOOKUP(C50,'Project Status'!C:S,17,FALSE)</f>
        <v>0</v>
      </c>
      <c r="J50" s="180">
        <f>VLOOKUP(C50,'Project Status'!C:T,18,FALSE)</f>
        <v>75000</v>
      </c>
      <c r="K50" s="181">
        <f t="shared" si="4"/>
        <v>75000</v>
      </c>
      <c r="L50" s="195"/>
    </row>
    <row r="51" spans="1:15" ht="15" customHeight="1" x14ac:dyDescent="0.4">
      <c r="A51" s="264"/>
      <c r="B51" s="108">
        <v>18</v>
      </c>
      <c r="C51">
        <v>20913</v>
      </c>
      <c r="D51" t="str">
        <f>VLOOKUP(C51,'Project Status'!C:H,6,FALSE)</f>
        <v>WILSON HALL</v>
      </c>
      <c r="E51" s="3" t="str">
        <f>VLOOKUP(C51,'Project Status'!C:I,7,FALSE)</f>
        <v>Wilson Hall - Elevator Upgrades</v>
      </c>
      <c r="F51" s="3" t="str">
        <f>VLOOKUP(C51,'Project Status'!C:J,8,FALSE)</f>
        <v>Design</v>
      </c>
      <c r="G51" s="3" t="str">
        <f>VLOOKUP(C51,'Project Status'!C:K,9,FALSE)</f>
        <v>Ben Bedock</v>
      </c>
      <c r="H51" s="258"/>
      <c r="I51" s="250">
        <f>VLOOKUP(C51,'Project Status'!C:S,17,FALSE)</f>
        <v>0</v>
      </c>
      <c r="J51" s="180">
        <f>VLOOKUP(C51,'Project Status'!C:T,18,FALSE)</f>
        <v>75000</v>
      </c>
      <c r="K51" s="181">
        <f t="shared" si="4"/>
        <v>75000</v>
      </c>
      <c r="L51" s="195"/>
    </row>
    <row r="52" spans="1:15" x14ac:dyDescent="0.4">
      <c r="A52" s="264"/>
      <c r="B52" s="108"/>
      <c r="E52" s="3"/>
      <c r="F52" s="3"/>
      <c r="G52" s="3"/>
      <c r="H52" s="267" t="s">
        <v>314</v>
      </c>
      <c r="I52" s="250"/>
      <c r="J52" s="180"/>
      <c r="K52" s="181"/>
      <c r="L52" s="195"/>
    </row>
    <row r="53" spans="1:15" x14ac:dyDescent="0.4">
      <c r="A53" s="264"/>
      <c r="G53" s="173"/>
      <c r="H53" s="267"/>
      <c r="K53" s="173"/>
      <c r="L53" s="195"/>
    </row>
    <row r="54" spans="1:15" x14ac:dyDescent="0.4">
      <c r="A54" s="264"/>
      <c r="H54" s="203">
        <f>'Project Status'!R55</f>
        <v>567212.74000000022</v>
      </c>
      <c r="K54" s="173"/>
      <c r="L54" s="195"/>
    </row>
    <row r="55" spans="1:15" x14ac:dyDescent="0.4">
      <c r="A55" s="264"/>
      <c r="G55" s="173"/>
      <c r="H55" s="203"/>
      <c r="K55" s="173"/>
      <c r="L55" s="195"/>
    </row>
    <row r="56" spans="1:15" x14ac:dyDescent="0.4">
      <c r="A56" s="264"/>
      <c r="G56" s="173"/>
      <c r="H56" s="267" t="s">
        <v>315</v>
      </c>
      <c r="K56" s="173"/>
      <c r="L56" s="195"/>
    </row>
    <row r="57" spans="1:15" x14ac:dyDescent="0.4">
      <c r="A57" s="264"/>
      <c r="H57" s="267"/>
      <c r="K57" s="173"/>
      <c r="L57" s="195"/>
    </row>
    <row r="58" spans="1:15" x14ac:dyDescent="0.4">
      <c r="H58" s="203">
        <f>H35+H54</f>
        <v>11596496.029999999</v>
      </c>
      <c r="I58" s="179">
        <f>SUM(I35:I57)</f>
        <v>7658134</v>
      </c>
      <c r="J58" s="179">
        <f>SUM(J35:J57)</f>
        <v>2824341</v>
      </c>
      <c r="K58" s="179">
        <f>SUM(K35:K57)</f>
        <v>10482475</v>
      </c>
      <c r="L58" s="179">
        <f>H58-K58</f>
        <v>1114021.0299999993</v>
      </c>
      <c r="N58" s="173"/>
      <c r="O58" s="173"/>
    </row>
    <row r="59" spans="1:15" x14ac:dyDescent="0.4">
      <c r="I59" s="78"/>
      <c r="O59" s="173"/>
    </row>
    <row r="60" spans="1:15" x14ac:dyDescent="0.4">
      <c r="A60" s="265" t="s">
        <v>295</v>
      </c>
      <c r="B60" s="183"/>
      <c r="C60" s="183" t="s">
        <v>125</v>
      </c>
      <c r="D60" s="183" t="s">
        <v>114</v>
      </c>
      <c r="E60" s="183" t="s">
        <v>87</v>
      </c>
      <c r="F60" s="183" t="s">
        <v>128</v>
      </c>
      <c r="G60" s="183" t="s">
        <v>129</v>
      </c>
      <c r="H60" s="187" t="s">
        <v>294</v>
      </c>
      <c r="I60" s="184" t="s">
        <v>256</v>
      </c>
      <c r="J60" s="184" t="s">
        <v>292</v>
      </c>
      <c r="K60" s="193" t="s">
        <v>291</v>
      </c>
      <c r="L60" s="194" t="s">
        <v>257</v>
      </c>
    </row>
    <row r="61" spans="1:15" ht="14.7" customHeight="1" x14ac:dyDescent="0.4">
      <c r="A61" s="265"/>
      <c r="B61" s="108">
        <v>1</v>
      </c>
      <c r="C61">
        <v>20772</v>
      </c>
      <c r="D61" t="str">
        <f>VLOOKUP(C61,'Project Status'!C:H,6,FALSE)</f>
        <v>OWEN GRAD MGMT</v>
      </c>
      <c r="E61" t="str">
        <f>VLOOKUP(C61,'Project Status'!C:I,7,FALSE)</f>
        <v>OGSM Old Mechanical- Slate Roof &amp; Window Replacement</v>
      </c>
      <c r="F61" t="str">
        <f>VLOOKUP(C61,'Project Status'!C:J,8,FALSE)</f>
        <v>Award</v>
      </c>
      <c r="G61" t="str">
        <f>VLOOKUP(C61,'Project Status'!C:K,9,FALSE)</f>
        <v>Ben Bedock</v>
      </c>
      <c r="H61" s="269">
        <f>Contributions!K17</f>
        <v>12857284.462265246</v>
      </c>
      <c r="J61" s="180">
        <f>VLOOKUP(C61,'Project Status'!C:V,20,FALSE)</f>
        <v>3200000</v>
      </c>
      <c r="K61" s="181">
        <f>IF(J61="TBD",J61,SUM(I61:J61))</f>
        <v>3200000</v>
      </c>
      <c r="L61" s="197"/>
    </row>
    <row r="62" spans="1:15" x14ac:dyDescent="0.4">
      <c r="A62" s="265"/>
      <c r="B62" s="108">
        <v>2</v>
      </c>
      <c r="C62">
        <v>20577</v>
      </c>
      <c r="D62" t="str">
        <f>VLOOKUP(C62,'Project Status'!C:H,6,FALSE)</f>
        <v>BLAIR SCHOOL OF MUSIC</v>
      </c>
      <c r="E62" t="str">
        <f>VLOOKUP(C62,'Project Status'!C:I,7,FALSE)</f>
        <v>Blair School of Music - Air Handling Unit Replacement -Phase 1</v>
      </c>
      <c r="F62" t="str">
        <f>VLOOKUP(C62,'Project Status'!C:J,8,FALSE)</f>
        <v>Design</v>
      </c>
      <c r="G62" t="str">
        <f>VLOOKUP(C62,'Project Status'!C:K,9,FALSE)</f>
        <v>Hans Mooy</v>
      </c>
      <c r="H62" s="269"/>
      <c r="J62" s="180">
        <f>VLOOKUP(C62,'Project Status'!C:V,20,FALSE)</f>
        <v>1500000</v>
      </c>
      <c r="K62" s="181">
        <f t="shared" ref="K62" si="5">IF(J62="TBD",J62,SUM(I62:J62))</f>
        <v>1500000</v>
      </c>
      <c r="L62" s="197"/>
      <c r="M62" s="20" t="s">
        <v>372</v>
      </c>
    </row>
    <row r="63" spans="1:15" x14ac:dyDescent="0.4">
      <c r="A63" s="265"/>
      <c r="B63" s="108">
        <v>3</v>
      </c>
      <c r="C63">
        <v>20723</v>
      </c>
      <c r="D63" t="str">
        <f>VLOOKUP(C63,'Project Status'!C:H,6,FALSE)</f>
        <v>MRB III BIO/SCI</v>
      </c>
      <c r="E63" t="str">
        <f>VLOOKUP(C63,'Project Status'!C:I,7,FALSE)</f>
        <v>MRB III - 9th Floor (with 4 ,5 &amp; 8) - Replace Controls (Phase 3)</v>
      </c>
      <c r="F63" t="str">
        <f>VLOOKUP(C63,'Project Status'!C:J,8,FALSE)</f>
        <v>Design</v>
      </c>
      <c r="G63" t="str">
        <f>VLOOKUP(C63,'Project Status'!C:K,9,FALSE)</f>
        <v>Andy Maddox</v>
      </c>
      <c r="H63" s="269"/>
      <c r="J63" s="180" t="str">
        <f>VLOOKUP(C63,'Project Status'!C:V,20,FALSE)</f>
        <v>TBD</v>
      </c>
      <c r="K63" s="181" t="str">
        <f t="shared" ref="K63" si="6">IF(J63="TBD",J63,SUM(I63:J63))</f>
        <v>TBD</v>
      </c>
      <c r="L63" s="197"/>
    </row>
    <row r="64" spans="1:15" x14ac:dyDescent="0.4">
      <c r="A64" s="265"/>
      <c r="B64" s="108">
        <v>4</v>
      </c>
      <c r="C64">
        <v>20668</v>
      </c>
      <c r="D64" t="str">
        <f>VLOOKUP(C64,'Project Status'!C:H,6,FALSE)</f>
        <v>KECK FREE ELECTRON LASER CTR</v>
      </c>
      <c r="E64" t="str">
        <f>VLOOKUP(C64,'Project Status'!C:I,7,FALSE)</f>
        <v>Keck FEL - Mechanical Upgrades</v>
      </c>
      <c r="F64" t="str">
        <f>VLOOKUP(C64,'Project Status'!C:J,8,FALSE)</f>
        <v>Design</v>
      </c>
      <c r="G64" t="str">
        <f>VLOOKUP(C64,'Project Status'!C:K,9,FALSE)</f>
        <v>Sean Rewers</v>
      </c>
      <c r="H64" s="269"/>
      <c r="J64" s="180" t="str">
        <f>VLOOKUP(C64,'Project Status'!C:V,20,FALSE)</f>
        <v>TBD</v>
      </c>
      <c r="K64" s="181" t="str">
        <f t="shared" ref="K64" si="7">IF(J64="TBD",J64,SUM(I64:J64))</f>
        <v>TBD</v>
      </c>
      <c r="L64" s="197"/>
    </row>
    <row r="65" spans="1:12" x14ac:dyDescent="0.4">
      <c r="A65" s="265"/>
      <c r="B65" s="108">
        <v>5</v>
      </c>
      <c r="C65">
        <v>20838</v>
      </c>
      <c r="D65" t="str">
        <f>VLOOKUP(C65,'Project Status'!C:H,6,FALSE)</f>
        <v>SEIGENTHALER CENTER</v>
      </c>
      <c r="E65" t="str">
        <f>VLOOKUP(C65,'Project Status'!C:I,7,FALSE)</f>
        <v>Seigenthaler Building Conversion</v>
      </c>
      <c r="F65" t="str">
        <f>VLOOKUP(C65,'Project Status'!C:J,8,FALSE)</f>
        <v>Design</v>
      </c>
      <c r="G65" t="str">
        <f>VLOOKUP(C65,'Project Status'!C:K,9,FALSE)</f>
        <v>Andy Maddox</v>
      </c>
      <c r="H65" s="269"/>
      <c r="J65" s="180" t="str">
        <f>VLOOKUP(C65,'Project Status'!C:V,20,FALSE)</f>
        <v>TBD</v>
      </c>
      <c r="K65" s="181" t="str">
        <f t="shared" ref="K65" si="8">IF(J65="TBD",J65,SUM(I65:J65))</f>
        <v>TBD</v>
      </c>
      <c r="L65" s="197"/>
    </row>
    <row r="66" spans="1:12" x14ac:dyDescent="0.4">
      <c r="A66" s="265"/>
      <c r="B66" s="108"/>
      <c r="H66" s="269"/>
      <c r="J66" s="180"/>
      <c r="K66" s="181"/>
      <c r="L66" s="197"/>
    </row>
    <row r="67" spans="1:12" x14ac:dyDescent="0.4">
      <c r="A67" s="265"/>
      <c r="B67" s="108"/>
      <c r="H67" s="269"/>
      <c r="J67" s="180"/>
      <c r="K67" s="181"/>
      <c r="L67" s="197"/>
    </row>
    <row r="68" spans="1:12" x14ac:dyDescent="0.4">
      <c r="A68" s="265"/>
      <c r="B68" s="108"/>
      <c r="H68" s="269"/>
      <c r="J68" s="180"/>
      <c r="K68" s="181"/>
      <c r="L68" s="197"/>
    </row>
    <row r="69" spans="1:12" x14ac:dyDescent="0.4">
      <c r="A69" s="265"/>
      <c r="H69" s="269"/>
      <c r="J69" s="180"/>
      <c r="K69" s="181"/>
      <c r="L69" s="197"/>
    </row>
    <row r="70" spans="1:12" x14ac:dyDescent="0.4">
      <c r="A70" s="265"/>
      <c r="H70" s="269"/>
      <c r="K70" s="173"/>
      <c r="L70" s="197"/>
    </row>
    <row r="71" spans="1:12" x14ac:dyDescent="0.4">
      <c r="A71" s="265"/>
      <c r="H71" s="269"/>
      <c r="K71" s="173"/>
      <c r="L71" s="197"/>
    </row>
    <row r="72" spans="1:12" x14ac:dyDescent="0.4">
      <c r="A72" s="265"/>
      <c r="H72" s="269"/>
      <c r="K72" s="173"/>
      <c r="L72" s="197"/>
    </row>
    <row r="73" spans="1:12" x14ac:dyDescent="0.4">
      <c r="A73" s="265"/>
      <c r="H73" s="269"/>
      <c r="K73" s="173"/>
      <c r="L73" s="197"/>
    </row>
    <row r="74" spans="1:12" x14ac:dyDescent="0.4">
      <c r="A74" s="265"/>
      <c r="H74" s="269"/>
      <c r="K74" s="173"/>
      <c r="L74" s="197"/>
    </row>
    <row r="75" spans="1:12" x14ac:dyDescent="0.4">
      <c r="A75" s="265"/>
      <c r="H75" s="268" t="s">
        <v>314</v>
      </c>
      <c r="K75" s="173"/>
      <c r="L75" s="197"/>
    </row>
    <row r="76" spans="1:12" x14ac:dyDescent="0.4">
      <c r="A76" s="265"/>
      <c r="H76" s="268"/>
      <c r="K76" s="173"/>
      <c r="L76" s="197"/>
    </row>
    <row r="77" spans="1:12" x14ac:dyDescent="0.4">
      <c r="A77" s="265"/>
      <c r="H77" s="205">
        <v>0</v>
      </c>
      <c r="K77" s="173"/>
      <c r="L77" s="197"/>
    </row>
    <row r="78" spans="1:12" x14ac:dyDescent="0.4">
      <c r="A78" s="265"/>
      <c r="H78" s="205"/>
      <c r="K78" s="173"/>
      <c r="L78" s="197"/>
    </row>
    <row r="79" spans="1:12" x14ac:dyDescent="0.4">
      <c r="A79" s="265"/>
      <c r="H79" s="268" t="s">
        <v>315</v>
      </c>
      <c r="K79" s="173"/>
      <c r="L79" s="197"/>
    </row>
    <row r="80" spans="1:12" x14ac:dyDescent="0.4">
      <c r="A80" s="265"/>
      <c r="H80" s="268"/>
      <c r="K80" s="173"/>
      <c r="L80" s="197"/>
    </row>
    <row r="81" spans="1:13" x14ac:dyDescent="0.4">
      <c r="H81" s="204"/>
      <c r="I81" s="182">
        <f>SUM(I61:I80)</f>
        <v>0</v>
      </c>
      <c r="J81" s="182">
        <f>SUM(J61:J80)</f>
        <v>4700000</v>
      </c>
      <c r="K81" s="182">
        <f>SUM(K61:K80)</f>
        <v>4700000</v>
      </c>
      <c r="L81" s="182">
        <f>H61-K81</f>
        <v>8157284.4622652456</v>
      </c>
    </row>
    <row r="83" spans="1:13" x14ac:dyDescent="0.4">
      <c r="A83" s="259" t="s">
        <v>356</v>
      </c>
      <c r="B83" s="223"/>
      <c r="C83" s="223" t="s">
        <v>125</v>
      </c>
      <c r="D83" s="223" t="s">
        <v>114</v>
      </c>
      <c r="E83" s="223" t="s">
        <v>87</v>
      </c>
      <c r="F83" s="223" t="s">
        <v>128</v>
      </c>
      <c r="G83" s="223" t="s">
        <v>129</v>
      </c>
      <c r="H83" s="221" t="s">
        <v>294</v>
      </c>
      <c r="I83" s="224" t="s">
        <v>256</v>
      </c>
      <c r="J83" s="224" t="s">
        <v>292</v>
      </c>
      <c r="K83" s="225" t="s">
        <v>291</v>
      </c>
      <c r="L83" s="222" t="s">
        <v>257</v>
      </c>
    </row>
    <row r="84" spans="1:13" ht="14.7" customHeight="1" x14ac:dyDescent="0.4">
      <c r="A84" s="259"/>
      <c r="B84" s="108">
        <v>1</v>
      </c>
      <c r="C84">
        <v>20489</v>
      </c>
      <c r="D84" t="str">
        <f>VLOOKUP(C84,'Project Status'!C:H,6,FALSE)</f>
        <v>DIVINITY</v>
      </c>
      <c r="E84" t="str">
        <f>VLOOKUP(C84,'Project Status'!C:I,7,FALSE)</f>
        <v>Divinity Air Handling Unit Replacement, (1/3) - Phase 2 with Benton</v>
      </c>
      <c r="F84" t="str">
        <f>VLOOKUP(C84,'Project Status'!C:J,8,FALSE)</f>
        <v>Not Started</v>
      </c>
      <c r="G84" t="str">
        <f>VLOOKUP(C84,'Project Status'!C:K,9,FALSE)</f>
        <v>Hans Mooy</v>
      </c>
      <c r="H84" s="260">
        <f>Contributions!K41</f>
        <v>0</v>
      </c>
      <c r="J84" s="180">
        <f>VLOOKUP(C84,'Project Status'!C:W,21,FALSE)</f>
        <v>3170000</v>
      </c>
      <c r="K84" s="181">
        <f>IF(J84="TBD",J84,SUM(I84:J84))</f>
        <v>3170000</v>
      </c>
      <c r="L84" s="55"/>
      <c r="M84" s="20" t="s">
        <v>371</v>
      </c>
    </row>
    <row r="85" spans="1:13" x14ac:dyDescent="0.4">
      <c r="A85" s="259"/>
      <c r="B85" s="108">
        <v>2</v>
      </c>
      <c r="C85">
        <v>20577</v>
      </c>
      <c r="D85" t="str">
        <f>VLOOKUP(C85,'Project Status'!C:H,6,FALSE)</f>
        <v>BLAIR SCHOOL OF MUSIC</v>
      </c>
      <c r="E85" t="str">
        <f>VLOOKUP(C85,'Project Status'!C:I,7,FALSE)</f>
        <v>Blair School of Music - Air Handling Unit Replacement -Phase 1</v>
      </c>
      <c r="F85" t="str">
        <f>VLOOKUP(C85,'Project Status'!C:J,8,FALSE)</f>
        <v>Design</v>
      </c>
      <c r="G85" t="str">
        <f>VLOOKUP(C85,'Project Status'!C:K,9,FALSE)</f>
        <v>Hans Mooy</v>
      </c>
      <c r="H85" s="260"/>
      <c r="J85" s="180">
        <f>VLOOKUP(C85,'Project Status'!C:W,21,FALSE)</f>
        <v>2510000</v>
      </c>
      <c r="K85" s="181">
        <f>IF(J85="TBD",J85,SUM(I85:J85))</f>
        <v>2510000</v>
      </c>
      <c r="L85" s="55"/>
      <c r="M85" s="20" t="s">
        <v>371</v>
      </c>
    </row>
    <row r="86" spans="1:13" x14ac:dyDescent="0.4">
      <c r="A86" s="259"/>
      <c r="B86" s="108">
        <v>3</v>
      </c>
      <c r="C86">
        <v>20563</v>
      </c>
      <c r="D86" t="str">
        <f>VLOOKUP(C86,'Project Status'!C:H,6,FALSE)</f>
        <v>KECK FREE ELECTRON LASER CTR</v>
      </c>
      <c r="E86" t="str">
        <f>VLOOKUP(C86,'Project Status'!C:I,7,FALSE)</f>
        <v>Keck FEL - Roof Replacement</v>
      </c>
      <c r="F86" t="str">
        <f>VLOOKUP(C86,'Project Status'!C:J,8,FALSE)</f>
        <v>Not Started</v>
      </c>
      <c r="G86" t="str">
        <f>VLOOKUP(C86,'Project Status'!C:K,9,FALSE)</f>
        <v>Ben Bedock</v>
      </c>
      <c r="H86" s="260"/>
      <c r="J86" s="180" t="str">
        <f>VLOOKUP(C86,'Project Status'!C:W,21,FALSE)</f>
        <v>TBD</v>
      </c>
      <c r="K86" s="181" t="str">
        <f>IF(J86="TBD",J86,SUM(I86:J86))</f>
        <v>TBD</v>
      </c>
      <c r="L86" s="55"/>
    </row>
    <row r="87" spans="1:13" x14ac:dyDescent="0.4">
      <c r="A87" s="259"/>
      <c r="B87" s="108"/>
      <c r="H87" s="260"/>
      <c r="J87" s="180"/>
      <c r="K87" s="181"/>
      <c r="L87" s="55"/>
    </row>
    <row r="88" spans="1:13" x14ac:dyDescent="0.4">
      <c r="A88" s="259"/>
      <c r="H88" s="260"/>
      <c r="J88" s="180"/>
      <c r="K88" s="181"/>
      <c r="L88" s="55"/>
    </row>
    <row r="89" spans="1:13" x14ac:dyDescent="0.4">
      <c r="A89" s="259"/>
      <c r="H89" s="260"/>
      <c r="J89" s="180"/>
      <c r="K89" s="181"/>
      <c r="L89" s="55"/>
    </row>
    <row r="90" spans="1:13" x14ac:dyDescent="0.4">
      <c r="A90" s="259"/>
      <c r="H90" s="260"/>
      <c r="J90" s="180"/>
      <c r="K90" s="181"/>
      <c r="L90" s="55"/>
    </row>
    <row r="91" spans="1:13" x14ac:dyDescent="0.4">
      <c r="A91" s="259"/>
      <c r="H91" s="260"/>
      <c r="J91" s="180"/>
      <c r="K91" s="181"/>
      <c r="L91" s="55"/>
    </row>
    <row r="92" spans="1:13" x14ac:dyDescent="0.4">
      <c r="A92" s="259"/>
      <c r="H92" s="260"/>
      <c r="J92" s="180"/>
      <c r="K92" s="181"/>
      <c r="L92" s="55"/>
    </row>
    <row r="93" spans="1:13" x14ac:dyDescent="0.4">
      <c r="A93" s="259"/>
      <c r="H93" s="260"/>
      <c r="J93" s="180"/>
      <c r="K93" s="181"/>
      <c r="L93" s="55"/>
    </row>
    <row r="94" spans="1:13" x14ac:dyDescent="0.4">
      <c r="A94" s="259"/>
      <c r="H94" s="260"/>
      <c r="K94" s="173"/>
      <c r="L94" s="55"/>
    </row>
    <row r="95" spans="1:13" x14ac:dyDescent="0.4">
      <c r="A95" s="259"/>
      <c r="H95" s="260"/>
      <c r="K95" s="173"/>
      <c r="L95" s="55"/>
    </row>
    <row r="96" spans="1:13" x14ac:dyDescent="0.4">
      <c r="A96" s="259"/>
      <c r="H96" s="260"/>
      <c r="K96" s="173"/>
      <c r="L96" s="55"/>
    </row>
    <row r="97" spans="1:12" x14ac:dyDescent="0.4">
      <c r="A97" s="259"/>
      <c r="H97" s="260"/>
      <c r="K97" s="173"/>
      <c r="L97" s="55"/>
    </row>
    <row r="98" spans="1:12" x14ac:dyDescent="0.4">
      <c r="A98" s="259"/>
      <c r="H98" s="260"/>
      <c r="K98" s="173"/>
      <c r="L98" s="55"/>
    </row>
    <row r="99" spans="1:12" x14ac:dyDescent="0.4">
      <c r="A99" s="259"/>
      <c r="H99" s="261" t="s">
        <v>314</v>
      </c>
      <c r="K99" s="173"/>
      <c r="L99" s="55"/>
    </row>
    <row r="100" spans="1:12" x14ac:dyDescent="0.4">
      <c r="A100" s="259"/>
      <c r="H100" s="261"/>
      <c r="K100" s="173"/>
      <c r="L100" s="55"/>
    </row>
    <row r="101" spans="1:12" x14ac:dyDescent="0.4">
      <c r="A101" s="259"/>
      <c r="H101" s="218">
        <v>0</v>
      </c>
      <c r="K101" s="173"/>
      <c r="L101" s="55"/>
    </row>
    <row r="102" spans="1:12" x14ac:dyDescent="0.4">
      <c r="A102" s="259"/>
      <c r="H102" s="218"/>
      <c r="K102" s="173"/>
      <c r="L102" s="55"/>
    </row>
    <row r="103" spans="1:12" x14ac:dyDescent="0.4">
      <c r="A103" s="259"/>
      <c r="H103" s="261" t="s">
        <v>315</v>
      </c>
      <c r="K103" s="173"/>
      <c r="L103" s="55"/>
    </row>
    <row r="104" spans="1:12" x14ac:dyDescent="0.4">
      <c r="A104" s="259"/>
      <c r="H104" s="261"/>
      <c r="K104" s="173"/>
      <c r="L104" s="55"/>
    </row>
    <row r="105" spans="1:12" x14ac:dyDescent="0.4">
      <c r="H105" s="219"/>
      <c r="I105" s="220">
        <f t="shared" ref="I105" si="9">SUM(I84:I104)</f>
        <v>0</v>
      </c>
      <c r="J105" s="220">
        <f t="shared" ref="J105" si="10">SUM(J84:J104)</f>
        <v>5680000</v>
      </c>
      <c r="K105" s="220">
        <f>SUM(K84:K104)</f>
        <v>5680000</v>
      </c>
      <c r="L105" s="220">
        <f>H84-K105</f>
        <v>-5680000</v>
      </c>
    </row>
  </sheetData>
  <sortState xmlns:xlrd2="http://schemas.microsoft.com/office/spreadsheetml/2017/richdata2" ref="C35:C46">
    <sortCondition ref="C34:C46"/>
  </sortState>
  <mergeCells count="14">
    <mergeCell ref="A83:A104"/>
    <mergeCell ref="H84:H98"/>
    <mergeCell ref="H99:H100"/>
    <mergeCell ref="H103:H104"/>
    <mergeCell ref="H3:H32"/>
    <mergeCell ref="A2:A31"/>
    <mergeCell ref="A34:A57"/>
    <mergeCell ref="A60:A80"/>
    <mergeCell ref="H35:H50"/>
    <mergeCell ref="H56:H57"/>
    <mergeCell ref="H75:H76"/>
    <mergeCell ref="H79:H80"/>
    <mergeCell ref="H61:H74"/>
    <mergeCell ref="H52:H53"/>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5439-1475-431C-BDA1-303315028440}">
  <sheetPr>
    <tabColor theme="7"/>
  </sheetPr>
  <dimension ref="A1:F30"/>
  <sheetViews>
    <sheetView zoomScaleNormal="100" workbookViewId="0">
      <pane ySplit="3" topLeftCell="A4" activePane="bottomLeft" state="frozen"/>
      <selection pane="bottomLeft" activeCell="I1" sqref="I1"/>
    </sheetView>
  </sheetViews>
  <sheetFormatPr defaultRowHeight="14.6" x14ac:dyDescent="0.4"/>
  <cols>
    <col min="1" max="1" width="32.15234375" bestFit="1" customWidth="1"/>
    <col min="2" max="2" width="11.69140625" bestFit="1" customWidth="1"/>
    <col min="3" max="4" width="13.53515625" bestFit="1" customWidth="1"/>
  </cols>
  <sheetData>
    <row r="1" spans="1:4" s="8" customFormat="1" x14ac:dyDescent="0.4">
      <c r="A1" s="10" t="s">
        <v>339</v>
      </c>
      <c r="B1"/>
      <c r="C1"/>
    </row>
    <row r="3" spans="1:4" x14ac:dyDescent="0.4">
      <c r="A3" s="25" t="s">
        <v>115</v>
      </c>
      <c r="B3" t="s">
        <v>336</v>
      </c>
      <c r="C3" t="s">
        <v>337</v>
      </c>
      <c r="D3" t="s">
        <v>338</v>
      </c>
    </row>
    <row r="4" spans="1:4" x14ac:dyDescent="0.4">
      <c r="A4" s="26" t="s">
        <v>101</v>
      </c>
      <c r="B4" s="27">
        <v>135926.15</v>
      </c>
      <c r="C4" s="27">
        <v>93262.5</v>
      </c>
      <c r="D4" s="27">
        <v>5624460</v>
      </c>
    </row>
    <row r="5" spans="1:4" x14ac:dyDescent="0.4">
      <c r="A5" s="26" t="s">
        <v>100</v>
      </c>
      <c r="B5" s="27">
        <v>479363.73</v>
      </c>
      <c r="C5" s="27">
        <v>1235593</v>
      </c>
      <c r="D5" s="27">
        <v>72933</v>
      </c>
    </row>
    <row r="6" spans="1:4" x14ac:dyDescent="0.4">
      <c r="A6" s="26" t="s">
        <v>325</v>
      </c>
      <c r="B6" s="27">
        <v>755248.26</v>
      </c>
      <c r="C6" s="27">
        <v>466067.76</v>
      </c>
      <c r="D6" s="27">
        <v>-88254</v>
      </c>
    </row>
    <row r="7" spans="1:4" x14ac:dyDescent="0.4">
      <c r="A7" s="26" t="s">
        <v>269</v>
      </c>
      <c r="B7" s="27">
        <v>3274180.99</v>
      </c>
      <c r="C7" s="27">
        <v>3431313.5</v>
      </c>
      <c r="D7" s="27">
        <v>25553.040000000001</v>
      </c>
    </row>
    <row r="8" spans="1:4" x14ac:dyDescent="0.4">
      <c r="A8" s="26" t="s">
        <v>267</v>
      </c>
      <c r="B8" s="27">
        <v>14407.5</v>
      </c>
      <c r="C8" s="27">
        <v>26500</v>
      </c>
      <c r="D8" s="27">
        <v>0</v>
      </c>
    </row>
    <row r="9" spans="1:4" x14ac:dyDescent="0.4">
      <c r="A9" s="26" t="s">
        <v>300</v>
      </c>
      <c r="B9" s="27">
        <v>5493035.3599999994</v>
      </c>
      <c r="C9" s="27">
        <v>3510399.5</v>
      </c>
      <c r="D9" s="27">
        <v>1028900</v>
      </c>
    </row>
    <row r="10" spans="1:4" x14ac:dyDescent="0.4">
      <c r="A10" s="26" t="s">
        <v>178</v>
      </c>
      <c r="B10" s="27">
        <v>83307.5</v>
      </c>
      <c r="C10" s="27">
        <v>34150</v>
      </c>
      <c r="D10" s="27">
        <v>905220</v>
      </c>
    </row>
    <row r="11" spans="1:4" x14ac:dyDescent="0.4">
      <c r="A11" s="26" t="s">
        <v>224</v>
      </c>
      <c r="B11" s="27">
        <v>0</v>
      </c>
      <c r="C11" s="27">
        <v>0</v>
      </c>
      <c r="D11" s="27">
        <v>21600</v>
      </c>
    </row>
    <row r="12" spans="1:4" x14ac:dyDescent="0.4">
      <c r="A12" s="26" t="s">
        <v>393</v>
      </c>
      <c r="B12" s="27">
        <v>0</v>
      </c>
      <c r="C12" s="27"/>
      <c r="D12" s="27"/>
    </row>
    <row r="13" spans="1:4" x14ac:dyDescent="0.4">
      <c r="A13" s="26" t="s">
        <v>116</v>
      </c>
      <c r="B13" s="27">
        <v>10235469.49</v>
      </c>
      <c r="C13" s="27">
        <v>8797286.2599999998</v>
      </c>
      <c r="D13" s="27">
        <v>7590412.04</v>
      </c>
    </row>
    <row r="30" spans="6:6" x14ac:dyDescent="0.4">
      <c r="F30" s="27"/>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51</vt:i4>
      </vt:variant>
      <vt:variant>
        <vt:lpstr>Named Ranges</vt:lpstr>
      </vt:variant>
      <vt:variant>
        <vt:i4>4</vt:i4>
      </vt:variant>
    </vt:vector>
  </HeadingPairs>
  <TitlesOfParts>
    <vt:vector size="55" baseType="lpstr">
      <vt:lpstr>Guidance</vt:lpstr>
      <vt:lpstr>Summary_for Web-1</vt:lpstr>
      <vt:lpstr>Summary_for Web-2</vt:lpstr>
      <vt:lpstr>Summary_by School</vt:lpstr>
      <vt:lpstr>Shared Building Allocation</vt:lpstr>
      <vt:lpstr>Contributions</vt:lpstr>
      <vt:lpstr>Project Status</vt:lpstr>
      <vt:lpstr>Summary_by FY</vt:lpstr>
      <vt:lpstr>Summary_by Phase</vt:lpstr>
      <vt:lpstr>10085</vt:lpstr>
      <vt:lpstr>10098</vt:lpstr>
      <vt:lpstr>10146</vt:lpstr>
      <vt:lpstr>20179</vt:lpstr>
      <vt:lpstr>20336</vt:lpstr>
      <vt:lpstr>20431</vt:lpstr>
      <vt:lpstr>20478</vt:lpstr>
      <vt:lpstr>Sheet1</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20771</vt:lpstr>
      <vt:lpstr>20792</vt:lpstr>
      <vt:lpstr>20831</vt:lpstr>
      <vt:lpstr>20832</vt:lpstr>
      <vt:lpstr>20833</vt:lpstr>
      <vt:lpstr>20857</vt:lpstr>
      <vt:lpstr>20911</vt:lpstr>
      <vt:lpstr>20912</vt:lpstr>
      <vt:lpstr>20913</vt:lpstr>
      <vt:lpstr>JE LOG_FY23</vt:lpstr>
      <vt:lpstr>JE LOG_FY24</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2024-02-07T20:09:03Z</cp:lastPrinted>
  <dcterms:created xsi:type="dcterms:W3CDTF">2021-08-31T18:33:23Z</dcterms:created>
  <dcterms:modified xsi:type="dcterms:W3CDTF">2024-02-12T23:07:08Z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