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pivotTables/pivotTable2.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Y:\FandA\8-Facility_Renewal\Reporting\Reports\"/>
    </mc:Choice>
  </mc:AlternateContent>
  <xr:revisionPtr revIDLastSave="0" documentId="13_ncr:1_{416EAC43-C087-4934-8AAE-FAFAC4E3CFB8}" xr6:coauthVersionLast="47" xr6:coauthVersionMax="47" xr10:uidLastSave="{00000000-0000-0000-0000-000000000000}"/>
  <bookViews>
    <workbookView xWindow="28680" yWindow="-120" windowWidth="24240" windowHeight="13140" tabRatio="894" firstSheet="4" activeTab="8" xr2:uid="{382D63A7-A064-43C4-BB7D-7DDF2E98A281}"/>
  </bookViews>
  <sheets>
    <sheet name="Guidance" sheetId="47" r:id="rId1"/>
    <sheet name="Summary_for Web-1" sheetId="18" r:id="rId2"/>
    <sheet name="Summary_for Web-2" sheetId="17" r:id="rId3"/>
    <sheet name="Summary_by School" sheetId="9" r:id="rId4"/>
    <sheet name="Shared Building Allocation" sheetId="8" r:id="rId5"/>
    <sheet name="Contributions" sheetId="7" r:id="rId6"/>
    <sheet name="Project Status" sheetId="3" r:id="rId7"/>
    <sheet name="Summary_by FY" sheetId="41" r:id="rId8"/>
    <sheet name="Summary_by Phase" sheetId="49" r:id="rId9"/>
    <sheet name="10085" sheetId="24" state="hidden" r:id="rId10"/>
    <sheet name="10098" sheetId="10" r:id="rId11"/>
    <sheet name="10146" sheetId="29" r:id="rId12"/>
    <sheet name="20179" sheetId="12" r:id="rId13"/>
    <sheet name="20336" sheetId="15" r:id="rId14"/>
    <sheet name="20431" sheetId="20" r:id="rId15"/>
    <sheet name="20478" sheetId="34" r:id="rId16"/>
    <sheet name="20489" sheetId="35" r:id="rId17"/>
    <sheet name="20497" sheetId="13" r:id="rId18"/>
    <sheet name="20506" sheetId="38" r:id="rId19"/>
    <sheet name="20562" sheetId="32" r:id="rId20"/>
    <sheet name="20566" sheetId="14" r:id="rId21"/>
    <sheet name="20573" sheetId="36" r:id="rId22"/>
    <sheet name="20574" sheetId="21" r:id="rId23"/>
    <sheet name="20577" sheetId="16" r:id="rId24"/>
    <sheet name="20644" sheetId="31" r:id="rId25"/>
    <sheet name="20645" sheetId="46" r:id="rId26"/>
    <sheet name="20667" sheetId="19" r:id="rId27"/>
    <sheet name="20668" sheetId="22" r:id="rId28"/>
    <sheet name="20698" sheetId="27" r:id="rId29"/>
    <sheet name="20700" sheetId="30" r:id="rId30"/>
    <sheet name="20701" sheetId="39" r:id="rId31"/>
    <sheet name="20702" sheetId="26" r:id="rId32"/>
    <sheet name="20718" sheetId="44" r:id="rId33"/>
    <sheet name="20723" sheetId="37" r:id="rId34"/>
    <sheet name="20724" sheetId="33" r:id="rId35"/>
    <sheet name="20735" sheetId="42" r:id="rId36"/>
    <sheet name="20771" sheetId="40" r:id="rId37"/>
    <sheet name="20792" sheetId="45" r:id="rId38"/>
    <sheet name="JE LOG_FY23" sheetId="11" r:id="rId39"/>
    <sheet name="JE LOG_FY24" sheetId="48" r:id="rId40"/>
    <sheet name="lookup" sheetId="25" r:id="rId41"/>
    <sheet name="PUC GSF" sheetId="1" state="hidden" r:id="rId42"/>
    <sheet name="Notes" sheetId="6" state="hidden" r:id="rId43"/>
  </sheets>
  <definedNames>
    <definedName name="_xlnm._FilterDatabase" localSheetId="6" hidden="1">'Project Status'!$A$3:$P$41</definedName>
    <definedName name="JE">'10098'!$E$9:$H$12</definedName>
    <definedName name="list" localSheetId="39">'JE LOG_FY24'!$T:$T</definedName>
    <definedName name="list">'JE LOG_FY23'!$T:$T</definedName>
    <definedName name="_xlnm.Print_Area" localSheetId="4">'Shared Building Allocation'!$A$1:$G$15</definedName>
    <definedName name="Slicer_Building">#N/A</definedName>
    <definedName name="Slicer_Capex___opex">#N/A</definedName>
    <definedName name="Slicer_Lookup">#N/A</definedName>
  </definedNames>
  <calcPr calcId="191029"/>
  <pivotCaches>
    <pivotCache cacheId="3" r:id="rId44"/>
  </pivotCaches>
  <extLst>
    <ext xmlns:x14="http://schemas.microsoft.com/office/spreadsheetml/2009/9/main" uri="{BBE1A952-AA13-448e-AADC-164F8A28A991}">
      <x14:slicerCaches>
        <x14:slicerCache r:id="rId45"/>
        <x14:slicerCache r:id="rId46"/>
        <x14:slicerCache r:id="rId4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2" i="3" l="1"/>
  <c r="T50" i="3"/>
  <c r="T49" i="3"/>
  <c r="T48" i="3"/>
  <c r="T46" i="3"/>
  <c r="T45" i="3"/>
  <c r="T44" i="3"/>
  <c r="Q48" i="3"/>
  <c r="Q46" i="3"/>
  <c r="Q44" i="3"/>
  <c r="S41" i="3"/>
  <c r="R41" i="3"/>
  <c r="Q41" i="3"/>
  <c r="P41" i="3"/>
  <c r="O41" i="3"/>
  <c r="N41" i="3"/>
  <c r="M41" i="3"/>
  <c r="L41" i="3"/>
  <c r="T41" i="3"/>
  <c r="U41" i="3"/>
  <c r="T36" i="3"/>
  <c r="T37" i="3"/>
  <c r="T38" i="3"/>
  <c r="T39" i="3"/>
  <c r="T40" i="3"/>
  <c r="D46" i="41"/>
  <c r="E46" i="41"/>
  <c r="F46" i="41"/>
  <c r="G46" i="41"/>
  <c r="H46" i="41"/>
  <c r="I46" i="41"/>
  <c r="D47" i="41"/>
  <c r="E47" i="41"/>
  <c r="F47" i="41"/>
  <c r="G47" i="41"/>
  <c r="H47" i="41"/>
  <c r="I47" i="41"/>
  <c r="J47" i="41" s="1"/>
  <c r="D48" i="41"/>
  <c r="E48" i="41"/>
  <c r="F48" i="41"/>
  <c r="G48" i="41"/>
  <c r="H48" i="41"/>
  <c r="I48" i="41"/>
  <c r="G36" i="3"/>
  <c r="G37" i="3"/>
  <c r="G38" i="3"/>
  <c r="G39" i="3"/>
  <c r="G40" i="3"/>
  <c r="K35" i="41"/>
  <c r="E38" i="17"/>
  <c r="F38" i="17"/>
  <c r="G38" i="17"/>
  <c r="H38" i="17"/>
  <c r="E39" i="17"/>
  <c r="F39" i="17"/>
  <c r="G39" i="17"/>
  <c r="H39" i="17"/>
  <c r="B38" i="17"/>
  <c r="B39" i="17"/>
  <c r="D45" i="41"/>
  <c r="E45" i="41"/>
  <c r="F45" i="41"/>
  <c r="G45" i="41"/>
  <c r="H45" i="41"/>
  <c r="I45" i="41"/>
  <c r="D38" i="17"/>
  <c r="D39" i="17"/>
  <c r="R10" i="3"/>
  <c r="C4" i="48"/>
  <c r="C5" i="48" s="1"/>
  <c r="J46" i="41" l="1"/>
  <c r="J48" i="41"/>
  <c r="J45" i="41"/>
  <c r="G17" i="17"/>
  <c r="G34" i="17"/>
  <c r="G36" i="17"/>
  <c r="I37" i="41" l="1"/>
  <c r="I38" i="41"/>
  <c r="I39" i="41"/>
  <c r="I40" i="41"/>
  <c r="J40" i="41" s="1"/>
  <c r="I43" i="41"/>
  <c r="I44" i="41"/>
  <c r="J44" i="41" s="1"/>
  <c r="I35" i="41"/>
  <c r="J35" i="41" s="1"/>
  <c r="H35" i="41"/>
  <c r="H36" i="41"/>
  <c r="H37" i="41"/>
  <c r="H38" i="41"/>
  <c r="H39" i="41"/>
  <c r="H40" i="41"/>
  <c r="H41" i="41"/>
  <c r="H42" i="41"/>
  <c r="H43" i="41"/>
  <c r="H44" i="41"/>
  <c r="H18" i="44"/>
  <c r="H13" i="44"/>
  <c r="J43" i="41" l="1"/>
  <c r="J39" i="41"/>
  <c r="J38" i="41"/>
  <c r="J37" i="41"/>
  <c r="T5" i="3"/>
  <c r="T6" i="3"/>
  <c r="H8" i="17" s="1"/>
  <c r="T7" i="3"/>
  <c r="H9" i="17" s="1"/>
  <c r="T8" i="3"/>
  <c r="H10" i="17" s="1"/>
  <c r="T11" i="3"/>
  <c r="H13" i="17" s="1"/>
  <c r="T12" i="3"/>
  <c r="H14" i="17" s="1"/>
  <c r="T13" i="3"/>
  <c r="H15" i="17" s="1"/>
  <c r="T14" i="3"/>
  <c r="H16" i="17" s="1"/>
  <c r="T15" i="3"/>
  <c r="H17" i="17" s="1"/>
  <c r="T16" i="3"/>
  <c r="H18" i="17" s="1"/>
  <c r="T17" i="3"/>
  <c r="H19" i="17" s="1"/>
  <c r="T18" i="3"/>
  <c r="H20" i="17" s="1"/>
  <c r="T19" i="3"/>
  <c r="H21" i="17" s="1"/>
  <c r="T20" i="3"/>
  <c r="H22" i="17" s="1"/>
  <c r="T21" i="3"/>
  <c r="H23" i="17" s="1"/>
  <c r="T22" i="3"/>
  <c r="H24" i="17" s="1"/>
  <c r="T23" i="3"/>
  <c r="H25" i="17" s="1"/>
  <c r="T24" i="3"/>
  <c r="H26" i="17" s="1"/>
  <c r="T25" i="3"/>
  <c r="H27" i="17" s="1"/>
  <c r="T26" i="3"/>
  <c r="H28" i="17" s="1"/>
  <c r="T27" i="3"/>
  <c r="H29" i="17" s="1"/>
  <c r="T28" i="3"/>
  <c r="H30" i="17" s="1"/>
  <c r="T31" i="3"/>
  <c r="H33" i="17" s="1"/>
  <c r="T32" i="3"/>
  <c r="H34" i="17" s="1"/>
  <c r="T33" i="3"/>
  <c r="H35" i="17" s="1"/>
  <c r="T34" i="3"/>
  <c r="H36" i="17" s="1"/>
  <c r="T35" i="3"/>
  <c r="H37" i="17" s="1"/>
  <c r="T4" i="3"/>
  <c r="H6" i="17" s="1"/>
  <c r="Q35" i="3"/>
  <c r="E64" i="41"/>
  <c r="E65" i="41"/>
  <c r="E66" i="41"/>
  <c r="E63" i="41"/>
  <c r="E44" i="41"/>
  <c r="E43" i="41"/>
  <c r="E42" i="41"/>
  <c r="E41" i="41"/>
  <c r="E40" i="41"/>
  <c r="E39" i="41"/>
  <c r="E38" i="41"/>
  <c r="E37" i="41"/>
  <c r="E36" i="41"/>
  <c r="E35" i="41"/>
  <c r="F66" i="41"/>
  <c r="F65" i="41"/>
  <c r="F64" i="41"/>
  <c r="F63" i="41"/>
  <c r="F44" i="41"/>
  <c r="F43" i="41"/>
  <c r="F42" i="41"/>
  <c r="F41" i="41"/>
  <c r="F40" i="41"/>
  <c r="F39" i="41"/>
  <c r="F38" i="41"/>
  <c r="F37" i="41"/>
  <c r="F36" i="41"/>
  <c r="F35" i="41"/>
  <c r="G66" i="41"/>
  <c r="G65" i="41"/>
  <c r="G64" i="41"/>
  <c r="G63" i="41"/>
  <c r="G31" i="41"/>
  <c r="G30" i="41"/>
  <c r="G29" i="41"/>
  <c r="G28" i="41"/>
  <c r="G27" i="41"/>
  <c r="G26" i="41"/>
  <c r="G25" i="41"/>
  <c r="G24" i="41"/>
  <c r="G23" i="41"/>
  <c r="G22" i="41"/>
  <c r="G21" i="41"/>
  <c r="G20" i="41"/>
  <c r="G19" i="41"/>
  <c r="G18" i="41"/>
  <c r="G17" i="41"/>
  <c r="G16" i="41"/>
  <c r="G15" i="41"/>
  <c r="G14" i="41"/>
  <c r="G13" i="41"/>
  <c r="G12" i="41"/>
  <c r="G11" i="41"/>
  <c r="G10" i="41"/>
  <c r="G9" i="41"/>
  <c r="G8" i="41"/>
  <c r="G7" i="41"/>
  <c r="G6" i="41"/>
  <c r="G5" i="41"/>
  <c r="G4" i="41"/>
  <c r="G3" i="41"/>
  <c r="G36" i="41"/>
  <c r="G37" i="41"/>
  <c r="G38" i="41"/>
  <c r="G39" i="41"/>
  <c r="G40" i="41"/>
  <c r="G41" i="41"/>
  <c r="G42" i="41"/>
  <c r="G43" i="41"/>
  <c r="G44" i="41"/>
  <c r="G35" i="41"/>
  <c r="I64" i="41"/>
  <c r="J64" i="41" s="1"/>
  <c r="I65" i="41"/>
  <c r="J65" i="41" s="1"/>
  <c r="I66" i="41"/>
  <c r="J66" i="41" s="1"/>
  <c r="I63" i="41"/>
  <c r="J63" i="41" s="1"/>
  <c r="K63" i="41"/>
  <c r="H84" i="41"/>
  <c r="D66" i="41"/>
  <c r="D65" i="41"/>
  <c r="D64" i="41"/>
  <c r="D63" i="41"/>
  <c r="H60" i="41"/>
  <c r="D41" i="41"/>
  <c r="D42" i="41"/>
  <c r="D43" i="41"/>
  <c r="D44" i="41"/>
  <c r="H7" i="17" l="1"/>
  <c r="G37" i="17"/>
  <c r="H31" i="41"/>
  <c r="J31" i="41" s="1"/>
  <c r="J84" i="41"/>
  <c r="L84" i="41" s="1"/>
  <c r="I84" i="41"/>
  <c r="D40" i="41"/>
  <c r="D39" i="41"/>
  <c r="D38" i="41"/>
  <c r="D37" i="41"/>
  <c r="D36" i="41"/>
  <c r="D35" i="41"/>
  <c r="F3" i="41"/>
  <c r="E4" i="41"/>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 i="41"/>
  <c r="D4" i="41"/>
  <c r="D5" i="41"/>
  <c r="D6" i="41"/>
  <c r="D7" i="41"/>
  <c r="D8" i="41"/>
  <c r="D9" i="41"/>
  <c r="D10" i="41"/>
  <c r="D11" i="41"/>
  <c r="D12" i="41"/>
  <c r="D13" i="41"/>
  <c r="D14" i="41"/>
  <c r="D15" i="41"/>
  <c r="D16" i="41"/>
  <c r="D17" i="41"/>
  <c r="D18" i="41"/>
  <c r="D19" i="41"/>
  <c r="D20" i="41"/>
  <c r="D21" i="41"/>
  <c r="D22" i="41"/>
  <c r="D23" i="41"/>
  <c r="D24" i="41"/>
  <c r="D25" i="41"/>
  <c r="D26" i="41"/>
  <c r="D27" i="41"/>
  <c r="D28" i="41"/>
  <c r="D29" i="41"/>
  <c r="D30" i="41"/>
  <c r="D31" i="41"/>
  <c r="D3" i="41"/>
  <c r="H11" i="44"/>
  <c r="Q10" i="3"/>
  <c r="L13" i="34"/>
  <c r="H18" i="34"/>
  <c r="H16" i="34"/>
  <c r="H14" i="34"/>
  <c r="H13" i="34"/>
  <c r="Q21" i="3"/>
  <c r="G23" i="17" l="1"/>
  <c r="H19" i="41"/>
  <c r="J19" i="41" s="1"/>
  <c r="G12" i="17"/>
  <c r="H9" i="41"/>
  <c r="J9" i="41" s="1"/>
  <c r="T10" i="3"/>
  <c r="H12" i="17" s="1"/>
  <c r="H18" i="46"/>
  <c r="H4" i="46"/>
  <c r="G4" i="46"/>
  <c r="F4" i="46"/>
  <c r="E4" i="46"/>
  <c r="D4" i="46"/>
  <c r="C4" i="46"/>
  <c r="B4" i="46"/>
  <c r="Q31" i="3"/>
  <c r="H18" i="45"/>
  <c r="H4" i="45"/>
  <c r="G4" i="45"/>
  <c r="F4" i="45"/>
  <c r="E4" i="45"/>
  <c r="D4" i="45"/>
  <c r="C4" i="45"/>
  <c r="B4" i="45"/>
  <c r="Q28" i="3"/>
  <c r="H4" i="44"/>
  <c r="H20" i="44" s="1"/>
  <c r="G4" i="44"/>
  <c r="F4" i="44"/>
  <c r="E4" i="44"/>
  <c r="D4" i="44"/>
  <c r="C4" i="44"/>
  <c r="B4" i="44"/>
  <c r="E37" i="17"/>
  <c r="F37" i="17"/>
  <c r="B37" i="17"/>
  <c r="G35" i="3"/>
  <c r="D37" i="17" s="1"/>
  <c r="H18" i="42"/>
  <c r="H4" i="42"/>
  <c r="G4" i="42"/>
  <c r="F4" i="42"/>
  <c r="E4" i="42"/>
  <c r="D4" i="42"/>
  <c r="C4" i="42"/>
  <c r="B4" i="42"/>
  <c r="E36" i="17"/>
  <c r="F36" i="17"/>
  <c r="B36" i="17"/>
  <c r="G30" i="17" l="1"/>
  <c r="H26" i="41"/>
  <c r="J26" i="41" s="1"/>
  <c r="G33" i="17"/>
  <c r="H29" i="41"/>
  <c r="J29" i="41" s="1"/>
  <c r="H20" i="46"/>
  <c r="H20" i="45"/>
  <c r="H20" i="42"/>
  <c r="G15" i="3"/>
  <c r="E34" i="17"/>
  <c r="F34" i="17"/>
  <c r="E35" i="17"/>
  <c r="F35" i="17"/>
  <c r="B34" i="17"/>
  <c r="B35" i="17"/>
  <c r="H11" i="29"/>
  <c r="H18" i="29"/>
  <c r="Q26" i="3"/>
  <c r="Q33" i="3"/>
  <c r="Q30" i="3"/>
  <c r="Q29" i="3"/>
  <c r="S29" i="3" s="1"/>
  <c r="Q27" i="3"/>
  <c r="Q25" i="3"/>
  <c r="Q23" i="3"/>
  <c r="Q22" i="3"/>
  <c r="Q20" i="3"/>
  <c r="Q19" i="3"/>
  <c r="Q18" i="3"/>
  <c r="Q17" i="3"/>
  <c r="Q16" i="3"/>
  <c r="Q14" i="3"/>
  <c r="Q13" i="3"/>
  <c r="Q12" i="3"/>
  <c r="Q11" i="3"/>
  <c r="Q9" i="3"/>
  <c r="Q8" i="3"/>
  <c r="Q7" i="3"/>
  <c r="Q6" i="3"/>
  <c r="Q5" i="3"/>
  <c r="H18" i="39"/>
  <c r="H18" i="33"/>
  <c r="H18" i="40"/>
  <c r="H18" i="37"/>
  <c r="H18" i="26"/>
  <c r="H18" i="30"/>
  <c r="H18" i="27"/>
  <c r="Q24" i="3" s="1"/>
  <c r="H18" i="22"/>
  <c r="H18" i="19"/>
  <c r="H18" i="31"/>
  <c r="H18" i="16"/>
  <c r="H18" i="21"/>
  <c r="H18" i="36"/>
  <c r="H18" i="14"/>
  <c r="H18" i="32"/>
  <c r="H18" i="38"/>
  <c r="H18" i="13"/>
  <c r="H18" i="35"/>
  <c r="H18" i="20"/>
  <c r="H18" i="15"/>
  <c r="H18" i="12"/>
  <c r="H18" i="24"/>
  <c r="H18" i="10"/>
  <c r="G29" i="3"/>
  <c r="G30" i="3"/>
  <c r="G31" i="3"/>
  <c r="G32" i="3"/>
  <c r="G33" i="3"/>
  <c r="G34" i="3"/>
  <c r="H4" i="40"/>
  <c r="H20" i="40" s="1"/>
  <c r="G4" i="40"/>
  <c r="F4" i="40"/>
  <c r="E4" i="40"/>
  <c r="D4" i="40"/>
  <c r="C4" i="40"/>
  <c r="B4" i="40"/>
  <c r="H4" i="39"/>
  <c r="H20" i="39" s="1"/>
  <c r="G4" i="39"/>
  <c r="F4" i="39"/>
  <c r="E4" i="39"/>
  <c r="D4" i="39"/>
  <c r="C4" i="39"/>
  <c r="B4" i="39"/>
  <c r="G15" i="17" l="1"/>
  <c r="H12" i="41"/>
  <c r="J12" i="41" s="1"/>
  <c r="G25" i="17"/>
  <c r="H21" i="41"/>
  <c r="J21" i="41" s="1"/>
  <c r="G26" i="17"/>
  <c r="H22" i="41"/>
  <c r="J22" i="41" s="1"/>
  <c r="G8" i="17"/>
  <c r="H5" i="41"/>
  <c r="J5" i="41" s="1"/>
  <c r="G18" i="17"/>
  <c r="H14" i="41"/>
  <c r="J14" i="41" s="1"/>
  <c r="G29" i="17"/>
  <c r="H25" i="41"/>
  <c r="J25" i="41" s="1"/>
  <c r="G9" i="17"/>
  <c r="H6" i="41"/>
  <c r="J6" i="41" s="1"/>
  <c r="G19" i="17"/>
  <c r="H15" i="41"/>
  <c r="J15" i="41" s="1"/>
  <c r="I41" i="41"/>
  <c r="J41" i="41" s="1"/>
  <c r="G31" i="17"/>
  <c r="H27" i="41"/>
  <c r="J27" i="41" s="1"/>
  <c r="G7" i="17"/>
  <c r="D20" i="8"/>
  <c r="H4" i="41"/>
  <c r="J4" i="41" s="1"/>
  <c r="G10" i="17"/>
  <c r="H7" i="41"/>
  <c r="J7" i="41" s="1"/>
  <c r="G20" i="17"/>
  <c r="H16" i="41"/>
  <c r="J16" i="41" s="1"/>
  <c r="S30" i="3"/>
  <c r="I42" i="41" s="1"/>
  <c r="J42" i="41" s="1"/>
  <c r="G32" i="17"/>
  <c r="H28" i="41"/>
  <c r="J28" i="41" s="1"/>
  <c r="G27" i="17"/>
  <c r="H23" i="41"/>
  <c r="J23" i="41" s="1"/>
  <c r="G11" i="17"/>
  <c r="H8" i="41"/>
  <c r="J8" i="41" s="1"/>
  <c r="G21" i="17"/>
  <c r="H17" i="41"/>
  <c r="J17" i="41" s="1"/>
  <c r="G35" i="17"/>
  <c r="H30" i="41"/>
  <c r="J30" i="41" s="1"/>
  <c r="G13" i="17"/>
  <c r="H10" i="41"/>
  <c r="J10" i="41" s="1"/>
  <c r="G22" i="17"/>
  <c r="H18" i="41"/>
  <c r="J18" i="41" s="1"/>
  <c r="G28" i="17"/>
  <c r="H24" i="41"/>
  <c r="J24" i="41" s="1"/>
  <c r="G16" i="17"/>
  <c r="H13" i="41"/>
  <c r="J13" i="41" s="1"/>
  <c r="G14" i="17"/>
  <c r="H11" i="41"/>
  <c r="J11" i="41" s="1"/>
  <c r="G24" i="17"/>
  <c r="H20" i="41"/>
  <c r="J20" i="41" s="1"/>
  <c r="S9" i="3"/>
  <c r="D34" i="17"/>
  <c r="D35" i="17"/>
  <c r="D36" i="17"/>
  <c r="E29" i="17"/>
  <c r="F29" i="17"/>
  <c r="E30" i="17"/>
  <c r="F30" i="17"/>
  <c r="E31" i="17"/>
  <c r="F31" i="17"/>
  <c r="E32" i="17"/>
  <c r="F32" i="17"/>
  <c r="B27" i="17"/>
  <c r="B28" i="17"/>
  <c r="B29" i="17"/>
  <c r="B30" i="17"/>
  <c r="B31" i="17"/>
  <c r="B32" i="17"/>
  <c r="B33" i="17"/>
  <c r="D23" i="8" l="1"/>
  <c r="D22" i="8"/>
  <c r="T9" i="3"/>
  <c r="H11" i="17" s="1"/>
  <c r="I36" i="41"/>
  <c r="J36" i="41" s="1"/>
  <c r="J60" i="41" s="1"/>
  <c r="G27" i="3"/>
  <c r="D29" i="17" s="1"/>
  <c r="G28" i="3"/>
  <c r="H4" i="38"/>
  <c r="H20" i="38" s="1"/>
  <c r="G4" i="38"/>
  <c r="F4" i="38"/>
  <c r="E4" i="38"/>
  <c r="D4" i="38"/>
  <c r="C4" i="38"/>
  <c r="B4" i="38"/>
  <c r="G5" i="3"/>
  <c r="G6" i="3"/>
  <c r="G7" i="3"/>
  <c r="G8" i="3"/>
  <c r="G9" i="3"/>
  <c r="G10" i="3"/>
  <c r="G11" i="3"/>
  <c r="G12" i="3"/>
  <c r="G13" i="3"/>
  <c r="G14" i="3"/>
  <c r="G16" i="3"/>
  <c r="G17" i="3"/>
  <c r="G18" i="3"/>
  <c r="G19" i="3"/>
  <c r="G20" i="3"/>
  <c r="G21" i="3"/>
  <c r="G22" i="3"/>
  <c r="G23" i="3"/>
  <c r="G24" i="3"/>
  <c r="G25" i="3"/>
  <c r="G26" i="3"/>
  <c r="D24" i="8" l="1"/>
  <c r="E10" i="8"/>
  <c r="E5" i="8"/>
  <c r="D32" i="17"/>
  <c r="D31" i="17"/>
  <c r="D30" i="17"/>
  <c r="B9" i="17"/>
  <c r="B10" i="17"/>
  <c r="B11" i="17"/>
  <c r="B12" i="17"/>
  <c r="B13" i="17"/>
  <c r="B14" i="17"/>
  <c r="B15" i="17"/>
  <c r="B16" i="17"/>
  <c r="B17" i="17"/>
  <c r="B18" i="17"/>
  <c r="B19" i="17"/>
  <c r="B20" i="17"/>
  <c r="B21" i="17"/>
  <c r="B22" i="17"/>
  <c r="B23" i="17"/>
  <c r="B24" i="17"/>
  <c r="B25" i="17"/>
  <c r="B26" i="17"/>
  <c r="H4" i="37"/>
  <c r="H20" i="37" s="1"/>
  <c r="G4" i="37"/>
  <c r="F4" i="37"/>
  <c r="E4" i="37"/>
  <c r="D4" i="37"/>
  <c r="C4" i="37"/>
  <c r="B4" i="37"/>
  <c r="C6" i="8"/>
  <c r="C7" i="8"/>
  <c r="C8" i="8"/>
  <c r="C9" i="8"/>
  <c r="C10" i="8"/>
  <c r="C11" i="8"/>
  <c r="C12" i="8"/>
  <c r="C13" i="8"/>
  <c r="C5" i="8"/>
  <c r="B22" i="18"/>
  <c r="B23" i="18"/>
  <c r="B24" i="18"/>
  <c r="B25" i="18"/>
  <c r="B26" i="18"/>
  <c r="B27" i="18"/>
  <c r="B28" i="18"/>
  <c r="B29" i="18"/>
  <c r="B21" i="18"/>
  <c r="E33" i="17"/>
  <c r="F33" i="17"/>
  <c r="H4" i="34"/>
  <c r="G4" i="34"/>
  <c r="F4" i="34"/>
  <c r="E4" i="34"/>
  <c r="D4" i="34"/>
  <c r="C4" i="34"/>
  <c r="B4" i="34"/>
  <c r="H10" i="34"/>
  <c r="H4" i="36"/>
  <c r="H20" i="36" s="1"/>
  <c r="G4" i="36"/>
  <c r="F4" i="36"/>
  <c r="E4" i="36"/>
  <c r="D4" i="36"/>
  <c r="C4" i="36"/>
  <c r="B4" i="36"/>
  <c r="H4" i="35"/>
  <c r="H20" i="35" s="1"/>
  <c r="G4" i="35"/>
  <c r="F4" i="35"/>
  <c r="E4" i="35"/>
  <c r="D4" i="35"/>
  <c r="C4" i="35"/>
  <c r="B4" i="35"/>
  <c r="H9" i="34"/>
  <c r="H4" i="33"/>
  <c r="H20" i="33" s="1"/>
  <c r="G4" i="33"/>
  <c r="F4" i="33"/>
  <c r="E4" i="33"/>
  <c r="D4" i="33"/>
  <c r="C4" i="33"/>
  <c r="B4" i="33"/>
  <c r="E28" i="17"/>
  <c r="F28" i="17"/>
  <c r="H4" i="32"/>
  <c r="H20" i="32" s="1"/>
  <c r="G4" i="32"/>
  <c r="F4" i="32"/>
  <c r="E4" i="32"/>
  <c r="D4" i="32"/>
  <c r="C4" i="32"/>
  <c r="B4" i="32"/>
  <c r="H15" i="20"/>
  <c r="H14" i="20"/>
  <c r="H13" i="20"/>
  <c r="H12" i="20"/>
  <c r="K13" i="20"/>
  <c r="J13" i="20"/>
  <c r="H4" i="31"/>
  <c r="H20" i="31" s="1"/>
  <c r="G4" i="31"/>
  <c r="F4" i="31"/>
  <c r="E4" i="31"/>
  <c r="D4" i="31"/>
  <c r="C4" i="31"/>
  <c r="B4" i="31"/>
  <c r="H4" i="30"/>
  <c r="H20" i="30" s="1"/>
  <c r="G4" i="30"/>
  <c r="F4" i="30"/>
  <c r="E4" i="30"/>
  <c r="D4" i="30"/>
  <c r="C4" i="30"/>
  <c r="B4" i="30"/>
  <c r="E12" i="17"/>
  <c r="F12" i="17"/>
  <c r="H20" i="34" l="1"/>
  <c r="H4" i="10"/>
  <c r="H20" i="10" s="1"/>
  <c r="H4" i="12"/>
  <c r="H4" i="15"/>
  <c r="H20" i="15" s="1"/>
  <c r="H4" i="13"/>
  <c r="H20" i="13" s="1"/>
  <c r="H4" i="14"/>
  <c r="H20" i="14" s="1"/>
  <c r="H4" i="16"/>
  <c r="H20" i="16" s="1"/>
  <c r="H4" i="19"/>
  <c r="H20" i="19" s="1"/>
  <c r="H4" i="20"/>
  <c r="H20" i="20" s="1"/>
  <c r="H4" i="21"/>
  <c r="H20" i="21" s="1"/>
  <c r="H4" i="22"/>
  <c r="H20" i="22" s="1"/>
  <c r="H4" i="24"/>
  <c r="H4" i="26"/>
  <c r="H20" i="26" s="1"/>
  <c r="H4" i="27"/>
  <c r="H20" i="27" s="1"/>
  <c r="H4" i="29"/>
  <c r="H20" i="29" s="1"/>
  <c r="E9" i="17"/>
  <c r="F9" i="17"/>
  <c r="E10" i="17"/>
  <c r="F10" i="17"/>
  <c r="E11" i="17"/>
  <c r="F11" i="17"/>
  <c r="E13" i="17"/>
  <c r="F13" i="17"/>
  <c r="E14" i="17"/>
  <c r="F14" i="17"/>
  <c r="G4" i="29" l="1"/>
  <c r="F4" i="29"/>
  <c r="E4" i="29"/>
  <c r="D4" i="29"/>
  <c r="C4" i="29"/>
  <c r="B4" i="29"/>
  <c r="G4" i="27"/>
  <c r="F4" i="27"/>
  <c r="E4" i="27"/>
  <c r="D4" i="27"/>
  <c r="C4" i="27"/>
  <c r="B4" i="27"/>
  <c r="G4" i="26"/>
  <c r="F4" i="26"/>
  <c r="E4" i="26"/>
  <c r="D4" i="26"/>
  <c r="C4" i="26"/>
  <c r="B4" i="26"/>
  <c r="G12" i="7"/>
  <c r="B14" i="7"/>
  <c r="F14" i="7"/>
  <c r="G4" i="24"/>
  <c r="F4" i="24"/>
  <c r="E4" i="24"/>
  <c r="D4" i="24"/>
  <c r="C4" i="24"/>
  <c r="B4" i="24"/>
  <c r="I4" i="24" s="1"/>
  <c r="H20" i="24" s="1"/>
  <c r="G4" i="22"/>
  <c r="F4" i="22"/>
  <c r="E4" i="22"/>
  <c r="D4" i="22"/>
  <c r="C4" i="22"/>
  <c r="B4" i="22"/>
  <c r="G4" i="21"/>
  <c r="F4" i="21"/>
  <c r="E4" i="21"/>
  <c r="D4" i="21"/>
  <c r="C4" i="21"/>
  <c r="B4" i="21"/>
  <c r="G4" i="20"/>
  <c r="F4" i="20"/>
  <c r="E4" i="20"/>
  <c r="D4" i="20"/>
  <c r="C4" i="20"/>
  <c r="B4" i="20"/>
  <c r="G4" i="19"/>
  <c r="F4" i="19"/>
  <c r="E4" i="19"/>
  <c r="D4" i="19"/>
  <c r="C4" i="19"/>
  <c r="B4" i="19"/>
  <c r="G4" i="16"/>
  <c r="F4" i="16"/>
  <c r="E4" i="16"/>
  <c r="D4" i="16"/>
  <c r="C4" i="16"/>
  <c r="B4" i="16"/>
  <c r="G4" i="14"/>
  <c r="F4" i="14"/>
  <c r="E4" i="14"/>
  <c r="D4" i="14"/>
  <c r="C4" i="14"/>
  <c r="B4" i="14"/>
  <c r="G4" i="13"/>
  <c r="F4" i="13"/>
  <c r="E4" i="13"/>
  <c r="D4" i="13"/>
  <c r="C4" i="13"/>
  <c r="B4" i="13"/>
  <c r="G4" i="15"/>
  <c r="F4" i="15"/>
  <c r="E4" i="15"/>
  <c r="D4" i="15"/>
  <c r="C4" i="15"/>
  <c r="B4" i="15"/>
  <c r="G4" i="12"/>
  <c r="F4" i="12"/>
  <c r="E4" i="12"/>
  <c r="D4" i="12"/>
  <c r="C4" i="12"/>
  <c r="B4" i="12"/>
  <c r="G4" i="10"/>
  <c r="F4" i="10"/>
  <c r="E4" i="10"/>
  <c r="D4" i="10"/>
  <c r="C4" i="10"/>
  <c r="B4" i="10"/>
  <c r="E23" i="17"/>
  <c r="F23" i="17"/>
  <c r="B8" i="17"/>
  <c r="B7" i="17"/>
  <c r="B6" i="17"/>
  <c r="F17" i="17"/>
  <c r="F15" i="17"/>
  <c r="F8" i="17"/>
  <c r="F18" i="17"/>
  <c r="F20" i="17"/>
  <c r="F16" i="17"/>
  <c r="F27" i="17"/>
  <c r="F7" i="17"/>
  <c r="F22" i="17"/>
  <c r="F6" i="17"/>
  <c r="F19" i="17"/>
  <c r="F24" i="17"/>
  <c r="F21" i="17"/>
  <c r="F25" i="17"/>
  <c r="F26" i="17"/>
  <c r="E17" i="17"/>
  <c r="E15" i="17"/>
  <c r="E8" i="17"/>
  <c r="E18" i="17"/>
  <c r="E20" i="17"/>
  <c r="E16" i="17"/>
  <c r="E27" i="17"/>
  <c r="E7" i="17"/>
  <c r="E22" i="17"/>
  <c r="E6" i="17"/>
  <c r="E19" i="17"/>
  <c r="E24" i="17"/>
  <c r="E21" i="17"/>
  <c r="E25" i="17"/>
  <c r="E26" i="17"/>
  <c r="D12" i="17"/>
  <c r="D19" i="17"/>
  <c r="D33" i="17"/>
  <c r="D25" i="17"/>
  <c r="G4" i="3"/>
  <c r="H9" i="20"/>
  <c r="K11" i="20"/>
  <c r="K10" i="20"/>
  <c r="J11" i="20"/>
  <c r="H11" i="20" s="1"/>
  <c r="J10" i="20"/>
  <c r="H10" i="20" s="1"/>
  <c r="I8" i="8" l="1"/>
  <c r="K8" i="8" s="1"/>
  <c r="D24" i="18" s="1"/>
  <c r="I9" i="8"/>
  <c r="K9" i="8" s="1"/>
  <c r="D25" i="18" s="1"/>
  <c r="I5" i="8"/>
  <c r="I11" i="8"/>
  <c r="K11" i="8" s="1"/>
  <c r="D27" i="18" s="1"/>
  <c r="I12" i="8"/>
  <c r="K12" i="8" s="1"/>
  <c r="D28" i="18" s="1"/>
  <c r="I13" i="8"/>
  <c r="K13" i="8" s="1"/>
  <c r="D29" i="18" s="1"/>
  <c r="E29" i="18" s="1"/>
  <c r="I7" i="8"/>
  <c r="K7" i="8" s="1"/>
  <c r="D23" i="18" s="1"/>
  <c r="F40" i="17"/>
  <c r="C9" i="48"/>
  <c r="C21" i="48" s="1"/>
  <c r="D11" i="8"/>
  <c r="D9" i="8"/>
  <c r="D6" i="8"/>
  <c r="D5" i="8"/>
  <c r="D7" i="8"/>
  <c r="D8" i="8"/>
  <c r="D10" i="8"/>
  <c r="D12" i="8"/>
  <c r="F4" i="48"/>
  <c r="C24" i="48" s="1"/>
  <c r="C20" i="11"/>
  <c r="C19" i="11"/>
  <c r="C18" i="11"/>
  <c r="C10" i="11"/>
  <c r="C17" i="11"/>
  <c r="C9" i="11"/>
  <c r="C16" i="11"/>
  <c r="C15" i="11"/>
  <c r="C14" i="11"/>
  <c r="C13" i="11"/>
  <c r="C12" i="11"/>
  <c r="C11" i="11"/>
  <c r="H12" i="8"/>
  <c r="C28" i="18"/>
  <c r="D28" i="17"/>
  <c r="D14" i="17"/>
  <c r="D22" i="17"/>
  <c r="D21" i="17"/>
  <c r="D17" i="17"/>
  <c r="D24" i="17"/>
  <c r="D7" i="17"/>
  <c r="D27" i="17"/>
  <c r="D16" i="17"/>
  <c r="D13" i="17"/>
  <c r="D20" i="17"/>
  <c r="D11" i="17"/>
  <c r="D18" i="17"/>
  <c r="D10" i="17"/>
  <c r="D8" i="17"/>
  <c r="D9" i="17"/>
  <c r="D6" i="17"/>
  <c r="D15" i="17"/>
  <c r="G7" i="7"/>
  <c r="G8" i="7"/>
  <c r="G13" i="7"/>
  <c r="G6" i="7"/>
  <c r="G9" i="7"/>
  <c r="G10" i="7"/>
  <c r="G5" i="7"/>
  <c r="G14" i="7" s="1"/>
  <c r="G11" i="7"/>
  <c r="D26" i="17"/>
  <c r="D23" i="17"/>
  <c r="B14" i="18"/>
  <c r="B13" i="18"/>
  <c r="B12" i="18"/>
  <c r="B11" i="18"/>
  <c r="B10" i="18"/>
  <c r="B9" i="18"/>
  <c r="B8" i="18"/>
  <c r="B7" i="18"/>
  <c r="B6" i="18"/>
  <c r="R42" i="3" l="1"/>
  <c r="Q4" i="3"/>
  <c r="C21" i="11"/>
  <c r="G17" i="7"/>
  <c r="C23" i="18"/>
  <c r="H7" i="8"/>
  <c r="H13" i="8"/>
  <c r="C29" i="18"/>
  <c r="C24" i="18"/>
  <c r="H8" i="8"/>
  <c r="L8" i="8" s="1"/>
  <c r="H11" i="8"/>
  <c r="C27" i="18"/>
  <c r="H5" i="8"/>
  <c r="C21" i="18"/>
  <c r="C26" i="18"/>
  <c r="H10" i="8"/>
  <c r="H6" i="8"/>
  <c r="C22" i="18"/>
  <c r="H9" i="8"/>
  <c r="C25" i="18"/>
  <c r="E23" i="18"/>
  <c r="L7" i="8"/>
  <c r="L13" i="8"/>
  <c r="E27" i="18"/>
  <c r="L11" i="8"/>
  <c r="L12" i="8"/>
  <c r="E28" i="18"/>
  <c r="E25" i="18"/>
  <c r="L9" i="8"/>
  <c r="H10" i="13"/>
  <c r="H10" i="12"/>
  <c r="H11" i="12" s="1"/>
  <c r="H20" i="12" s="1"/>
  <c r="B6" i="8"/>
  <c r="B7" i="8"/>
  <c r="B8" i="8"/>
  <c r="B9" i="8"/>
  <c r="B10" i="8"/>
  <c r="B11" i="8"/>
  <c r="B12" i="8"/>
  <c r="B13" i="8"/>
  <c r="B5" i="8"/>
  <c r="G6" i="17" l="1"/>
  <c r="G40" i="17" s="1"/>
  <c r="D13" i="8"/>
  <c r="E24" i="18"/>
  <c r="H3" i="41"/>
  <c r="H32" i="41" s="1"/>
  <c r="H14" i="8"/>
  <c r="H11" i="13"/>
  <c r="C14" i="18"/>
  <c r="C11" i="18"/>
  <c r="C8" i="18"/>
  <c r="C7" i="18"/>
  <c r="C6" i="18"/>
  <c r="Q42" i="3" l="1"/>
  <c r="C9" i="18"/>
  <c r="C10" i="18"/>
  <c r="C12" i="18"/>
  <c r="C13" i="18"/>
  <c r="C14" i="8"/>
  <c r="C14" i="7"/>
  <c r="C17" i="7" l="1"/>
  <c r="C4" i="11"/>
  <c r="C15" i="18"/>
  <c r="C5" i="11" l="1"/>
  <c r="D21" i="11" l="1"/>
  <c r="C24" i="11"/>
  <c r="D41" i="1"/>
  <c r="D24" i="11" l="1"/>
  <c r="C23" i="48"/>
  <c r="C26" i="48" s="1"/>
  <c r="I32" i="41"/>
  <c r="I60" i="41"/>
  <c r="F12" i="8"/>
  <c r="F7" i="8"/>
  <c r="F11" i="8"/>
  <c r="G11" i="8" s="1"/>
  <c r="F8" i="8"/>
  <c r="F13" i="8"/>
  <c r="D8" i="18" l="1"/>
  <c r="E8" i="18" s="1"/>
  <c r="G7" i="8"/>
  <c r="D13" i="18"/>
  <c r="E13" i="18" s="1"/>
  <c r="G12" i="8"/>
  <c r="G8" i="8"/>
  <c r="D9" i="18"/>
  <c r="E9" i="18" s="1"/>
  <c r="D14" i="18"/>
  <c r="E14" i="18" s="1"/>
  <c r="G13" i="8"/>
  <c r="J3" i="41"/>
  <c r="J32" i="41" s="1"/>
  <c r="L32" i="41" s="1"/>
  <c r="K56" i="41" s="1"/>
  <c r="K60" i="41" s="1"/>
  <c r="F9" i="8"/>
  <c r="D12" i="18"/>
  <c r="E12" i="18" s="1"/>
  <c r="G9" i="8" l="1"/>
  <c r="D10" i="18"/>
  <c r="E10" i="18" s="1"/>
  <c r="T29" i="3"/>
  <c r="I10" i="8" s="1"/>
  <c r="H31" i="17" l="1"/>
  <c r="I20" i="8"/>
  <c r="F10" i="8"/>
  <c r="L60" i="41"/>
  <c r="F5" i="8"/>
  <c r="I23" i="8" l="1"/>
  <c r="I22" i="8"/>
  <c r="J5" i="8" s="1"/>
  <c r="G5" i="8"/>
  <c r="D6" i="18"/>
  <c r="D11" i="18"/>
  <c r="E11" i="18" s="1"/>
  <c r="G10" i="8"/>
  <c r="J10" i="8" l="1"/>
  <c r="K10" i="8" s="1"/>
  <c r="K5" i="8"/>
  <c r="I24" i="8"/>
  <c r="E6" i="18"/>
  <c r="T30" i="3"/>
  <c r="F6" i="8"/>
  <c r="C18" i="7" l="1"/>
  <c r="C19" i="7" s="1"/>
  <c r="I6" i="8"/>
  <c r="I14" i="8" s="1"/>
  <c r="H32" i="17"/>
  <c r="H40" i="17" s="1"/>
  <c r="D21" i="18"/>
  <c r="E21" i="18" s="1"/>
  <c r="L5" i="8"/>
  <c r="D26" i="18"/>
  <c r="E26" i="18" s="1"/>
  <c r="L10" i="8"/>
  <c r="G18" i="7"/>
  <c r="G19" i="7" s="1"/>
  <c r="D14" i="8"/>
  <c r="G6" i="8"/>
  <c r="G14" i="8" s="1"/>
  <c r="F14" i="8"/>
  <c r="D7" i="18"/>
  <c r="K6" i="8" l="1"/>
  <c r="D22" i="18" s="1"/>
  <c r="D30" i="18" s="1"/>
  <c r="D15" i="18"/>
  <c r="E7" i="18"/>
  <c r="E15" i="18" s="1"/>
  <c r="L6" i="8" l="1"/>
  <c r="L14" i="8" s="1"/>
  <c r="K14" i="8"/>
  <c r="C30" i="18"/>
  <c r="E22" i="18"/>
  <c r="E30"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tc={B94B61BE-9E95-456D-83ED-BA5ED89F596A}</author>
    <author>tc={DBD976BE-1EA5-4F82-B578-BB477409D36E}</author>
    <author>tc={08FDBB7B-1C2A-4B25-87EE-E5D1E2497356}</author>
    <author>tc={CD0EAA3A-8612-41AC-AEA9-2402CC95F0F9}</author>
    <author>tc={E105EA63-7C78-41C4-8D8F-2A5203F081DB}</author>
    <author>tc={E5436728-87D0-492B-83F9-14F3FA74D779}</author>
    <author>tc={2718DB0D-6394-4B31-BD4D-B1D4C2924D70}</author>
    <author>tc={8ED98847-D2CA-4CFE-9BE1-BEC4361D0A3D}</author>
  </authors>
  <commentList>
    <comment ref="I10" authorId="0" shapeId="0" xr:uid="{B94B61BE-9E95-456D-83ED-BA5ED89F596A}">
      <text>
        <t>[Threaded comment]
Your version of Excel allows you to read this threaded comment; however, any edits to it will get removed if the file is opened in a newer version of Excel. Learn more: https://go.microsoft.com/fwlink/?linkid=870924
Comment:
    Will potentially include roof repairs in scope.</t>
      </text>
    </comment>
    <comment ref="L10" authorId="1" shapeId="0" xr:uid="{DBD976BE-1EA5-4F82-B578-BB477409D36E}">
      <text>
        <t>[Threaded comment]
Your version of Excel allows you to read this threaded comment; however, any edits to it will get removed if the file is opened in a newer version of Excel. Learn more: https://go.microsoft.com/fwlink/?linkid=870924
Comment:
    Includes both A&amp;S swing space and FRP scope.</t>
      </text>
    </comment>
    <comment ref="I26" authorId="2" shapeId="0" xr:uid="{08FDBB7B-1C2A-4B25-87EE-E5D1E2497356}">
      <text>
        <t>[Threaded comment]
Your version of Excel allows you to read this threaded comment; however, any edits to it will get removed if the file is opened in a newer version of Excel. Learn more: https://go.microsoft.com/fwlink/?linkid=870924
Comment:
    Coordinating with EHS, may change direction.</t>
      </text>
    </comment>
    <comment ref="L28" authorId="3" shapeId="0" xr:uid="{CD0EAA3A-8612-41AC-AEA9-2402CC95F0F9}">
      <text>
        <t xml:space="preserve">[Threaded comment]
Your version of Excel allows you to read this threaded comment; however, any edits to it will get removed if the file is opened in a newer version of Excel. Learn more: https://go.microsoft.com/fwlink/?linkid=870924
Comment:
    Includes both A&amp;S third floor renovation FRP (VAV boxes) scope. </t>
      </text>
    </comment>
    <comment ref="I37" authorId="4" shapeId="0" xr:uid="{E105EA63-7C78-41C4-8D8F-2A5203F081DB}">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8" authorId="5" shapeId="0" xr:uid="{E5436728-87D0-492B-83F9-14F3FA74D779}">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9" authorId="6" shapeId="0" xr:uid="{2718DB0D-6394-4B31-BD4D-B1D4C2924D70}">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40" authorId="7" shapeId="0" xr:uid="{8ED98847-D2CA-4CFE-9BE1-BEC4361D0A3D}">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List>
</comments>
</file>

<file path=xl/sharedStrings.xml><?xml version="1.0" encoding="utf-8"?>
<sst xmlns="http://schemas.openxmlformats.org/spreadsheetml/2006/main" count="1244" uniqueCount="388">
  <si>
    <t>Financial Unit</t>
  </si>
  <si>
    <t>CBO</t>
  </si>
  <si>
    <t>VC Rollup</t>
  </si>
  <si>
    <t>FY23 GSF</t>
  </si>
  <si>
    <t>10000 - Office of the Chancellor</t>
  </si>
  <si>
    <t>Kwasi Appiah</t>
  </si>
  <si>
    <t>Chancellor</t>
  </si>
  <si>
    <t>11000 - Academic Affairs: Office of the Provost</t>
  </si>
  <si>
    <t>Jennifer Bischoff</t>
  </si>
  <si>
    <t>Provost</t>
  </si>
  <si>
    <t>12000 - Arts and Science: Office of the Dean</t>
  </si>
  <si>
    <t>Josh Brewer</t>
  </si>
  <si>
    <t>13000 - Blair: Office of the Dean</t>
  </si>
  <si>
    <t>Kathryn Dudley</t>
  </si>
  <si>
    <t>14000 - Divinity: Office of the Dean</t>
  </si>
  <si>
    <t>15000 - Engineering: Office of the Dean</t>
  </si>
  <si>
    <t>Hector Silva</t>
  </si>
  <si>
    <t>16000 - Graduate Education</t>
  </si>
  <si>
    <t>Jennifer Gourley</t>
  </si>
  <si>
    <t>17000 - Law: Office of the Dean</t>
  </si>
  <si>
    <t>Bonnie Bielec</t>
  </si>
  <si>
    <t>18200 - Basic Sciences: Office of the Dean</t>
  </si>
  <si>
    <t>Claudia Paz</t>
  </si>
  <si>
    <t>18500 - Health Sciences Education: Office of the Dean</t>
  </si>
  <si>
    <t>Jane Zubulake</t>
  </si>
  <si>
    <t>19000 - Nursing: Office of the Dean</t>
  </si>
  <si>
    <t>20000 - Owen: Office of the Dean</t>
  </si>
  <si>
    <t>Stella Vazna</t>
  </si>
  <si>
    <t>21000 - Peabody College: Office of the Dean</t>
  </si>
  <si>
    <t>Bryan Ratliff</t>
  </si>
  <si>
    <t>25000 - Faculty Affairs: Office of the Vice Provost</t>
  </si>
  <si>
    <t>26000 - Enrollment Affairs: Office of the Vice Provost</t>
  </si>
  <si>
    <t>27000 - Research: Office of the Vice Provost</t>
  </si>
  <si>
    <t>28000 - Undergraduate Affairs and Residential Faculty: Office of the Vice Provost</t>
  </si>
  <si>
    <t>29100 - Housing: Assignments and Operations</t>
  </si>
  <si>
    <t>Ashley Thompson</t>
  </si>
  <si>
    <t>30100 - Dean of Students: Office of the Dean</t>
  </si>
  <si>
    <t>Lauren Kysar</t>
  </si>
  <si>
    <t>30400 - Greek Life</t>
  </si>
  <si>
    <t>31100 - Library System</t>
  </si>
  <si>
    <t>Matthew McGlasson</t>
  </si>
  <si>
    <t>35000 - Administration: Office of the Vice Chancellor</t>
  </si>
  <si>
    <t>Ben Morse</t>
  </si>
  <si>
    <t>Administration</t>
  </si>
  <si>
    <t>36000 - Business Services Administration</t>
  </si>
  <si>
    <t>37000 - Facilities: Office of the Chief Facilities Officer</t>
  </si>
  <si>
    <t>Ally Sullivan</t>
  </si>
  <si>
    <t>38000 - Human Resources: Office of the Chief Human Resources Officer</t>
  </si>
  <si>
    <t>39000 - Office of Chief Public Safety Officer</t>
  </si>
  <si>
    <t>Dawn Radford</t>
  </si>
  <si>
    <t>40000 - Athletics: Office of the Vice Chancellor</t>
  </si>
  <si>
    <t>Phillip Brown</t>
  </si>
  <si>
    <t>Athletics</t>
  </si>
  <si>
    <t>40800 - Vanderbilt Recreation and Wellness Center</t>
  </si>
  <si>
    <t>41000 - Communications: Office of the Vice Chancellor</t>
  </si>
  <si>
    <t>Catherine Kozak</t>
  </si>
  <si>
    <t>Communications</t>
  </si>
  <si>
    <t>42000 - Dev and Alumni Relations: Office of Vice Chancellor</t>
  </si>
  <si>
    <t>Gena Cobble</t>
  </si>
  <si>
    <t>Development and Alumni Relations</t>
  </si>
  <si>
    <t>43000 - Equity, Diversity, and Inclusion: Office of the Vice Chancellor</t>
  </si>
  <si>
    <t>Equity, Diversity, and Inclusion</t>
  </si>
  <si>
    <t>44000 - Finance: Office of the Vice Chancellor</t>
  </si>
  <si>
    <t>Lindsay Burgener</t>
  </si>
  <si>
    <t>Finance</t>
  </si>
  <si>
    <t>45000 - General Counsel: Office of the Vice Chancellor</t>
  </si>
  <si>
    <t>General Counsel</t>
  </si>
  <si>
    <t>46000 - IT: Office of the Vice Chancellor</t>
  </si>
  <si>
    <t>Heather Slagell</t>
  </si>
  <si>
    <t>VUIT</t>
  </si>
  <si>
    <t>47000 - Audit, Risk, and Advisory Services</t>
  </si>
  <si>
    <t>Bruce Weisman</t>
  </si>
  <si>
    <t>Audit, Risk, and Advisory</t>
  </si>
  <si>
    <t>48000 - Investments: Office of the Vice Chancellor</t>
  </si>
  <si>
    <t>Investments</t>
  </si>
  <si>
    <t>49000 - Government and Community Relations: Office of the Vice Chancellor</t>
  </si>
  <si>
    <t>Alex Shea</t>
  </si>
  <si>
    <t>Government &amp; Community Relations</t>
  </si>
  <si>
    <t>63000 - Campus Initiatives</t>
  </si>
  <si>
    <t>In the Program?</t>
  </si>
  <si>
    <t>No</t>
  </si>
  <si>
    <t>Yes</t>
  </si>
  <si>
    <t>Rachel Hansbrough</t>
  </si>
  <si>
    <t>Lizzie Shilliam</t>
  </si>
  <si>
    <t>Bart Bunk</t>
  </si>
  <si>
    <t>Kirk Stonecipher</t>
  </si>
  <si>
    <t>School</t>
  </si>
  <si>
    <t>Project</t>
  </si>
  <si>
    <t>Contribution</t>
  </si>
  <si>
    <t>Capital</t>
  </si>
  <si>
    <t>Operating</t>
  </si>
  <si>
    <t>1. Review the proposed project list (attached) which now includes descriptions and capital versus operating designations.</t>
  </si>
  <si>
    <t>2. Review procedures for shared buildings (ex: MRB III).</t>
  </si>
  <si>
    <t>a. Facilities proposes that the majority / primary building owner bears the expense and receives the funds transfer.</t>
  </si>
  <si>
    <t>3. Review procedures for operating expense facility renewal projects.</t>
  </si>
  <si>
    <t>4. Discuss with Finance if we need to make any preparations to be set up for the funds transfers on July 1 from the schools to the Facility Renewal Program (FRP program code)</t>
  </si>
  <si>
    <t xml:space="preserve">a. Facilities proposes that the building owner bears the expense and receives the funds transfer. </t>
  </si>
  <si>
    <t>a. Per Kristy Stone the initial set of transfers will be a journal entry prepared by Facilities, approvals by each individual CBO are not required.</t>
  </si>
  <si>
    <t>b. Schools should consider creating a unique intersection (program and/or activity) code to track opex project expenses discretly in Oracle. Account code 6405 will typically be used.</t>
  </si>
  <si>
    <t>GSF</t>
  </si>
  <si>
    <t>Design</t>
  </si>
  <si>
    <t>Construction</t>
  </si>
  <si>
    <t>CP_400056</t>
  </si>
  <si>
    <t>CP_400108</t>
  </si>
  <si>
    <t>CP_400024</t>
  </si>
  <si>
    <t>Jesup - Roof Replacement</t>
  </si>
  <si>
    <t>CP_400127</t>
  </si>
  <si>
    <t>Wyatt Center - VAV Replacement</t>
  </si>
  <si>
    <t>One Magnolia Circle - Modify/Upgrade Electrical and Grounding</t>
  </si>
  <si>
    <t>Programming / Planning</t>
  </si>
  <si>
    <t>CP_400023</t>
  </si>
  <si>
    <t>Benson Old Central - Replace Soffit and Doors</t>
  </si>
  <si>
    <t xml:space="preserve">Last updated: </t>
  </si>
  <si>
    <t>Projects</t>
  </si>
  <si>
    <t>Building</t>
  </si>
  <si>
    <t>Law School</t>
  </si>
  <si>
    <t>One Magnolia Circle</t>
  </si>
  <si>
    <t>Row Labels</t>
  </si>
  <si>
    <t>Grand Total</t>
  </si>
  <si>
    <t>Approved_Budget</t>
  </si>
  <si>
    <t>Projects in MRBIII to be split 65% School of Medicine Basic Sciences / 35% Arts &amp; Sciences</t>
  </si>
  <si>
    <t>Estimated Budget</t>
  </si>
  <si>
    <t>A&amp;S</t>
  </si>
  <si>
    <t>SOM</t>
  </si>
  <si>
    <t>MRB III Adj</t>
  </si>
  <si>
    <t>Remaining funds</t>
  </si>
  <si>
    <t>Funding transfers</t>
  </si>
  <si>
    <t>eBuilder</t>
  </si>
  <si>
    <t>AiM</t>
  </si>
  <si>
    <t>Oracle</t>
  </si>
  <si>
    <t>Phase</t>
  </si>
  <si>
    <t>Manager</t>
  </si>
  <si>
    <t>Approved budget</t>
  </si>
  <si>
    <t>Approved commitments</t>
  </si>
  <si>
    <t>Projected commitments</t>
  </si>
  <si>
    <t>Estimated total budget</t>
  </si>
  <si>
    <t>crowhus_07272022_FRP</t>
  </si>
  <si>
    <t>50% covered by School of Law</t>
  </si>
  <si>
    <t>Balance</t>
  </si>
  <si>
    <t>FY22 invoices covered by Peabody</t>
  </si>
  <si>
    <t>tbd</t>
  </si>
  <si>
    <t>BAC-1</t>
  </si>
  <si>
    <t>Completed journal entries</t>
  </si>
  <si>
    <t>crowhus_07262022_FRP</t>
  </si>
  <si>
    <t>Sources</t>
  </si>
  <si>
    <t>Uses</t>
  </si>
  <si>
    <t>Total Uses</t>
  </si>
  <si>
    <t>Total sources</t>
  </si>
  <si>
    <t>BAC-3</t>
  </si>
  <si>
    <t>MRB III BIO/SCI</t>
  </si>
  <si>
    <t>BENSON OLD CENTRAL</t>
  </si>
  <si>
    <t>Ben Bedock</t>
  </si>
  <si>
    <t>BLAIR SCHOOL OF MUSIC</t>
  </si>
  <si>
    <t>Hans Mooy</t>
  </si>
  <si>
    <t>DIVINITY</t>
  </si>
  <si>
    <t>JESUP PSYCHOLOGY</t>
  </si>
  <si>
    <t>17100 - Law: Business Affairs</t>
  </si>
  <si>
    <t>Bob Grummon</t>
  </si>
  <si>
    <t>Sean Rewers</t>
  </si>
  <si>
    <t>PEABODY ADMINISTRATION</t>
  </si>
  <si>
    <t>CP_400151</t>
  </si>
  <si>
    <t>SC CHEMISTRY</t>
  </si>
  <si>
    <t>WYATT CENTER</t>
  </si>
  <si>
    <t>KECK FREE ELECTRON LASER CTR</t>
  </si>
  <si>
    <t>Keck FEL - Mechanical Upgrades</t>
  </si>
  <si>
    <t>1025 16TH AVE S</t>
  </si>
  <si>
    <t>1025 16th Avenue - Mechanical and Electrical Upgrades</t>
  </si>
  <si>
    <t>CP_400154</t>
  </si>
  <si>
    <t>crowhus_08312022_FRP</t>
  </si>
  <si>
    <t>eBuilder Project No</t>
  </si>
  <si>
    <t>Project Phase</t>
  </si>
  <si>
    <t>Project Description</t>
  </si>
  <si>
    <t>(1)</t>
  </si>
  <si>
    <t>(2)</t>
  </si>
  <si>
    <t>Godchaux Hall</t>
  </si>
  <si>
    <t>BAC-6</t>
  </si>
  <si>
    <t>CP_400160</t>
  </si>
  <si>
    <t>BAC-5</t>
  </si>
  <si>
    <t>crowhus_09302022_FRP</t>
  </si>
  <si>
    <t>CP_400025</t>
  </si>
  <si>
    <t>19100 - Nursing: Business Affairs</t>
  </si>
  <si>
    <t>Award</t>
  </si>
  <si>
    <t>FRP</t>
  </si>
  <si>
    <t>DOS</t>
  </si>
  <si>
    <t>FY22 invoices covered by Divinity</t>
  </si>
  <si>
    <t>design to be covered by Dean of Students (DOS) BAC-5 and BAC-6</t>
  </si>
  <si>
    <t>Project status update</t>
  </si>
  <si>
    <t>SC Chemistry (SC7) - Elevator 1 &amp; 2 Modernization</t>
  </si>
  <si>
    <t>Wyatt Center - Roof Replacement</t>
  </si>
  <si>
    <t>MRB III - Steam Coil Replacement</t>
  </si>
  <si>
    <t>Blair School of Music - Air Handling Unit Replacement</t>
  </si>
  <si>
    <t>Blair School of Music - Elevator #3 Modernization</t>
  </si>
  <si>
    <t>CP_400163</t>
  </si>
  <si>
    <r>
      <t xml:space="preserve">Facility Renewal Program: </t>
    </r>
    <r>
      <rPr>
        <b/>
        <i/>
        <sz val="11"/>
        <color theme="1"/>
        <rFont val="Calibri"/>
        <family val="2"/>
        <scheme val="minor"/>
      </rPr>
      <t>Summary by School</t>
    </r>
  </si>
  <si>
    <r>
      <t xml:space="preserve">Facility Renewal Program: </t>
    </r>
    <r>
      <rPr>
        <b/>
        <i/>
        <sz val="11"/>
        <color theme="1"/>
        <rFont val="Calibri"/>
        <family val="2"/>
        <scheme val="minor"/>
      </rPr>
      <t>Summary by Project</t>
    </r>
  </si>
  <si>
    <t xml:space="preserve">--this worksheet is used to allocate FRP costs for shared buildings to applicable schools. </t>
  </si>
  <si>
    <r>
      <t xml:space="preserve">Facility Renewal Program: </t>
    </r>
    <r>
      <rPr>
        <b/>
        <i/>
        <sz val="11"/>
        <color theme="1"/>
        <rFont val="Calibri"/>
        <family val="2"/>
        <scheme val="minor"/>
      </rPr>
      <t>Projects</t>
    </r>
  </si>
  <si>
    <t>Summary</t>
  </si>
  <si>
    <t>Arts &amp; Science</t>
  </si>
  <si>
    <t>Owen</t>
  </si>
  <si>
    <t>Blair</t>
  </si>
  <si>
    <t>Divinity</t>
  </si>
  <si>
    <t>Engineering</t>
  </si>
  <si>
    <t>Law</t>
  </si>
  <si>
    <t>Nursing</t>
  </si>
  <si>
    <t>SOM Basic Sciences</t>
  </si>
  <si>
    <t>Peabody</t>
  </si>
  <si>
    <t>Lookup</t>
  </si>
  <si>
    <t>Facility Renewal Program: Interactive Pivot Table</t>
  </si>
  <si>
    <t>WILSON HALL</t>
  </si>
  <si>
    <t>SC SCIENCE &amp; ENGINEERING</t>
  </si>
  <si>
    <r>
      <t xml:space="preserve">Facility Renewal Program: </t>
    </r>
    <r>
      <rPr>
        <b/>
        <i/>
        <sz val="11"/>
        <color theme="1"/>
        <rFont val="Calibri"/>
        <family val="2"/>
        <scheme val="minor"/>
      </rPr>
      <t>Contributions - FY24</t>
    </r>
  </si>
  <si>
    <r>
      <t xml:space="preserve">Facility Renewal Program: </t>
    </r>
    <r>
      <rPr>
        <b/>
        <i/>
        <sz val="11"/>
        <color theme="1"/>
        <rFont val="Calibri"/>
        <family val="2"/>
        <scheme val="minor"/>
      </rPr>
      <t>Contributions - FY23</t>
    </r>
  </si>
  <si>
    <t>Anticipated spend</t>
  </si>
  <si>
    <t>CP_400165</t>
  </si>
  <si>
    <t>Wyatt Center - Elevator #2 Modernization</t>
  </si>
  <si>
    <t>Projects to be added</t>
  </si>
  <si>
    <t>CP_400168</t>
  </si>
  <si>
    <t>BAC-2</t>
  </si>
  <si>
    <t>crowhus_10312022_FRP</t>
  </si>
  <si>
    <t>TBD</t>
  </si>
  <si>
    <t>CP_400164</t>
  </si>
  <si>
    <t>Wilson Hall - Fire Alarm Replacement</t>
  </si>
  <si>
    <t>FY22 invoices covered by VUSN</t>
  </si>
  <si>
    <t>CP_400171</t>
  </si>
  <si>
    <t>BAC-8</t>
  </si>
  <si>
    <t>Projects to be discussed</t>
  </si>
  <si>
    <t>Invoices Approved</t>
  </si>
  <si>
    <t>Bidding</t>
  </si>
  <si>
    <t>Estimated 
Total Budget</t>
  </si>
  <si>
    <t>crowhus_11302022_FRP</t>
  </si>
  <si>
    <t>to be covered by Dean of Students (DOS) BAC-8</t>
  </si>
  <si>
    <t>CP_400175</t>
  </si>
  <si>
    <t>Capex / Opex</t>
  </si>
  <si>
    <t>Total program - FY23</t>
  </si>
  <si>
    <t>Blair School of Music - Steam Line</t>
  </si>
  <si>
    <t>CP_400178</t>
  </si>
  <si>
    <t>crowhus_12312022_FRP</t>
  </si>
  <si>
    <t>Warranty / Construction Closeout</t>
  </si>
  <si>
    <t>CP_400182</t>
  </si>
  <si>
    <t>Bryan Building - Swing Space Renovation - A&amp;S Planning</t>
  </si>
  <si>
    <t>Cathy Bartlett</t>
  </si>
  <si>
    <t>CP_400183</t>
  </si>
  <si>
    <t>CP_400185</t>
  </si>
  <si>
    <t>crowhus_01312023_FRP</t>
  </si>
  <si>
    <t xml:space="preserve">design to be covered by A&amp;S </t>
  </si>
  <si>
    <t>Wyatt Center - Window Replacement</t>
  </si>
  <si>
    <t>OWEN GRAD MGMT</t>
  </si>
  <si>
    <t>FY23 FRP Cash Transferred</t>
  </si>
  <si>
    <t>BRYAN BLDG</t>
  </si>
  <si>
    <t>FY24 FRP Estimated</t>
  </si>
  <si>
    <t>Contribution vs. FY23 FRP funding</t>
  </si>
  <si>
    <t xml:space="preserve">Estimated 
FY24 FRP </t>
  </si>
  <si>
    <t>Estimated FRP</t>
  </si>
  <si>
    <t>Contribution vs. Estimated</t>
  </si>
  <si>
    <t>Total program - FY24</t>
  </si>
  <si>
    <t>FY24 revised estimated FRP</t>
  </si>
  <si>
    <t>Contribution vs. FY24 FRP funding</t>
  </si>
  <si>
    <t>FY23 
Contribution</t>
  </si>
  <si>
    <t>FY24 
Contribution</t>
  </si>
  <si>
    <t>CP_400187</t>
  </si>
  <si>
    <t>crowhus_02282023_FRP</t>
  </si>
  <si>
    <t>Collections</t>
  </si>
  <si>
    <t>Transferred</t>
  </si>
  <si>
    <t>Remaining</t>
  </si>
  <si>
    <t>To be moved</t>
  </si>
  <si>
    <t>Owen - Roof Replacement (Third Level)</t>
  </si>
  <si>
    <t>CP_400192</t>
  </si>
  <si>
    <t>CP_400174</t>
  </si>
  <si>
    <t>BUTTRICK HALL</t>
  </si>
  <si>
    <t>Buttrick Hall - 3rd Floor Inequality Renovations</t>
  </si>
  <si>
    <t>Erin Fry</t>
  </si>
  <si>
    <t>SIX MAGNOLIA CIRCLE</t>
  </si>
  <si>
    <t>Six Magnolia Circle - Foundation Repairs</t>
  </si>
  <si>
    <t>Not Started</t>
  </si>
  <si>
    <t>Godchaux - replace roof [Ben] - wait until after HVAC project completed, FY25</t>
  </si>
  <si>
    <t>SC4 - Interstitial Space HVAC Modifications</t>
  </si>
  <si>
    <t>Owen - Roof Replacement (Slate Portion)</t>
  </si>
  <si>
    <t>Financial Closeout</t>
  </si>
  <si>
    <t>03/22/2023 Project is in closeout.</t>
  </si>
  <si>
    <t>Total transfers from FRP cash</t>
  </si>
  <si>
    <t>crowhus_03312023_FRP</t>
  </si>
  <si>
    <t>CP_400198</t>
  </si>
  <si>
    <t>Keck FEL - Roof Replacement</t>
  </si>
  <si>
    <t>03/24/2023 Working with appropriate parties to determine scope of work.</t>
  </si>
  <si>
    <t>Project Status'!A1</t>
  </si>
  <si>
    <t>JE LOG_FY23'!A1</t>
  </si>
  <si>
    <t>FY25 FRP Estimated</t>
  </si>
  <si>
    <t>crowhus_04302023_FRP</t>
  </si>
  <si>
    <t>Godchaux Hall - HVAC Upgrade</t>
  </si>
  <si>
    <t>Law School - Fire Alarm System Replacement</t>
  </si>
  <si>
    <t>Divinity - AHU 5N (5 &amp; 6) Replacement</t>
  </si>
  <si>
    <t>Divinity - AHU 1N (1&amp;3) Replacement with Benton</t>
  </si>
  <si>
    <t>LAW SCHOOL</t>
  </si>
  <si>
    <t>Law School - Sections 1, 2, &amp; 3  Roof Replacement</t>
  </si>
  <si>
    <t>BAC-3 (partial)</t>
  </si>
  <si>
    <t>crowhus_05312023_FRP</t>
  </si>
  <si>
    <t>Peabody Administration - Envelope Repairs</t>
  </si>
  <si>
    <t>VAV controls only</t>
  </si>
  <si>
    <t>CP_400206</t>
  </si>
  <si>
    <t xml:space="preserve">work to be covered by A&amp;S </t>
  </si>
  <si>
    <t>FY 2023</t>
  </si>
  <si>
    <t>FRP Funding</t>
  </si>
  <si>
    <t>Estimated</t>
  </si>
  <si>
    <t>FY 2024</t>
  </si>
  <si>
    <t>FRP Collection</t>
  </si>
  <si>
    <t>FY 2025</t>
  </si>
  <si>
    <t>One Magnolia - elevator modernization (2024)?</t>
  </si>
  <si>
    <t>General guidance regarding the facility renewal program</t>
  </si>
  <si>
    <t xml:space="preserve">In general, any required facility renewal scope should be included in remodel project budgets. </t>
  </si>
  <si>
    <t>In these cases, the project manager needs to work with BOC Finance and the appropriate CBO as soon as possible to discuss project timing.</t>
  </si>
  <si>
    <t>MRB III - 4th Floor - Replace Controls (Phase 2)</t>
  </si>
  <si>
    <t>Warranty or Construction Closeout</t>
  </si>
  <si>
    <t>MRB III - 9th Floor (with 4 ,5 &amp; 8) - Replace Controls (Phase 3)</t>
  </si>
  <si>
    <t>In other words, FRP funds will not be used to augment remodel project budgets.</t>
  </si>
  <si>
    <t>Capital projects impact a school's balance sheet and generally span multiple fiscal years.</t>
  </si>
  <si>
    <t xml:space="preserve">Operating projects impact a school's income statement, which is reported on quarterly through variance reporting. </t>
  </si>
  <si>
    <t>Occasionally, facility renewal projects by nature of their scope and / or cost will not meet the capitalization threshold.</t>
  </si>
  <si>
    <t>Due to the timing of when fiscal year budgets are approved, opex facility renewal project(s) may not be included in the school's budget.</t>
  </si>
  <si>
    <t>When this is the case, the school will need to explain the negative impact of the opex facility renewal project(s) on their income statement.</t>
  </si>
  <si>
    <t>Final costs</t>
  </si>
  <si>
    <t>crowhus_06302023_FRP</t>
  </si>
  <si>
    <t>FX2-1</t>
  </si>
  <si>
    <t>FY24 FRP Total Contribution</t>
  </si>
  <si>
    <t>FY24 FRP Transferred</t>
  </si>
  <si>
    <t>Carryforward</t>
  </si>
  <si>
    <t>Prior Year Carryforward</t>
  </si>
  <si>
    <t>Available Funds</t>
  </si>
  <si>
    <t>Transferred FRP</t>
  </si>
  <si>
    <t>FY23</t>
  </si>
  <si>
    <t>FY24</t>
  </si>
  <si>
    <t>FY23 FRP</t>
  </si>
  <si>
    <t xml:space="preserve">FY23 FRP funding </t>
  </si>
  <si>
    <t xml:space="preserve">FY24 estimated FRP funding </t>
  </si>
  <si>
    <t>JE LOG_FY24'!A1</t>
  </si>
  <si>
    <t>Frist - replace roof (small section over stairwell) - waiting for eB #</t>
  </si>
  <si>
    <t>Vaughn - roof, (phase 2) - summer 2024?</t>
  </si>
  <si>
    <t>crowhus_08072023_FRP</t>
  </si>
  <si>
    <t>Wilson Hall - HVAC Replacement</t>
  </si>
  <si>
    <t>SC5 - HVAC Replacement</t>
  </si>
  <si>
    <t>Finalized</t>
  </si>
  <si>
    <t>Programming or Planning</t>
  </si>
  <si>
    <t>05/22/2023 on hold</t>
  </si>
  <si>
    <t>07/24/2023 Project is complete. I will begin closeout after taking some final photos of the space.</t>
  </si>
  <si>
    <t>New project for engineering study.</t>
  </si>
  <si>
    <t>crowhus_08082023_FRP</t>
  </si>
  <si>
    <t>Journal entries to be processed next</t>
  </si>
  <si>
    <r>
      <rPr>
        <i/>
        <sz val="11"/>
        <color theme="1"/>
        <rFont val="Calibri"/>
        <family val="2"/>
        <scheme val="minor"/>
      </rPr>
      <t>plus</t>
    </r>
    <r>
      <rPr>
        <sz val="11"/>
        <color theme="1"/>
        <rFont val="Calibri"/>
        <family val="2"/>
        <scheme val="minor"/>
      </rPr>
      <t xml:space="preserve"> carryforward</t>
    </r>
  </si>
  <si>
    <r>
      <rPr>
        <i/>
        <sz val="11"/>
        <color theme="1"/>
        <rFont val="Calibri"/>
        <family val="2"/>
        <scheme val="minor"/>
      </rPr>
      <t xml:space="preserve">(less) </t>
    </r>
    <r>
      <rPr>
        <sz val="11"/>
        <color theme="1"/>
        <rFont val="Calibri"/>
        <family val="2"/>
        <scheme val="minor"/>
      </rPr>
      <t>TBD</t>
    </r>
  </si>
  <si>
    <t>SC5 - Chemical Discharge Replacement</t>
  </si>
  <si>
    <t>SC7 Chemistry - SG-1 Removal and Connection to Central Plant Steam</t>
  </si>
  <si>
    <t>SC7 - Roof replacement (CUI / Stevenson), FY25</t>
  </si>
  <si>
    <t>ONE MAGNOLIA CIRCLE</t>
  </si>
  <si>
    <t>One Magnolia Circle - Retaining Wall Repair</t>
  </si>
  <si>
    <t>SC PHYSICS &amp; ASTRONOMY</t>
  </si>
  <si>
    <t>SC6 - HVAC Upgrades - Feasibility Study</t>
  </si>
  <si>
    <t>Wyatt Center - HVAC Upgrades - Engineering Study</t>
  </si>
  <si>
    <t>Jay Surprenant</t>
  </si>
  <si>
    <t>08/22/2023 project complete</t>
  </si>
  <si>
    <t>08/29/2023 Po has been started for SSR to complete phase 1 drawings and sign on as commissioning agent. We will put this out to bid after receiving drawings back</t>
  </si>
  <si>
    <t>08/27/2023 work complete</t>
  </si>
  <si>
    <t>08/22/2023 Construction is complete.  Working on punch list items.</t>
  </si>
  <si>
    <t>08/22/2023 Staff move out Thanksgiving 2023. Project estimated start December 2023.</t>
  </si>
  <si>
    <t>08/22/2023 The interior fitout was completed on August 14th and A&amp;S is actively moving into the building. DPR is addressing items on the punchlist.   Mechanical units and partial roof replacement are scheduled to be done in December 2023 and January 2024.</t>
  </si>
  <si>
    <t>08/22/2023 Project budget updated with completion of CD's. Construction to wait until FY 25 to start...</t>
  </si>
  <si>
    <t>08/22/2023 Construction complete</t>
  </si>
  <si>
    <t>08/22/2023 Still awaiting 1 filter rack to install on AHU. We will be balancing and changing set points on VAVs hopefully this week.</t>
  </si>
  <si>
    <t>08/22/2023 Punch list items to be completed.</t>
  </si>
  <si>
    <t>08/22/2023 Primary roof installation is complete.  Metal work remains.  Metal work will be completed by 08/31.</t>
  </si>
  <si>
    <t>08/22/2023 Pumps have been installed. We are awaiting some electrical starters and insulation to wrap up the project.</t>
  </si>
  <si>
    <t>08/22/2023 Construction complete.</t>
  </si>
  <si>
    <t>08/22/2023 Main entrance door to be installed in September.  Once installed, project will be complete.</t>
  </si>
  <si>
    <t>08/22/2023 Envision is working on getting a detailed analysis of each HVAC option. We will be having a GC price out each option as our final piece of data to select what type of system we will install. Full CDs will begin after that assessment.</t>
  </si>
  <si>
    <t>09/01/2023 We are awaiting specs from Hobbs/HVAC Supplier before we can secure pre-construction contractor. ICT has been working on getting drawings ready for pre-construction. Should have a contractor working on pre-con before next update.</t>
  </si>
  <si>
    <t>08/29/2023 We have received an updated design set which we will be reviewing over the next few weeks. We have not secured another company to do the radio survey for the building. If the drawing set is approved by the department and Fire/Life Safety we may proceed with bidding to get some cost estimates.</t>
  </si>
  <si>
    <t>08/22/2023 Project is mostly complete. We turned the steam on, which has not been run to AHUs in 6 years. No leaks but steam traps need to be replaced. Sylvan is working on a quote to have these replaced.</t>
  </si>
  <si>
    <t>08/28/2023 Construction complete. Change order 1 in process. Signage and sound masking need to be installed.</t>
  </si>
  <si>
    <t>08/22/2023 Project kick-off meeting to occur on 09/05/23</t>
  </si>
  <si>
    <t>08/22/2023 Final footer structural design pending</t>
  </si>
  <si>
    <t>08/22/2023 Contractor has been delayed.  Working on weekends only.  Will finished by 08/27.</t>
  </si>
  <si>
    <t>08/22/2023 Project will start construction in winter 2023.</t>
  </si>
  <si>
    <t>08/22/2023 Scope is currently being designed.  Once complete, bidding process will begin.</t>
  </si>
  <si>
    <t>08/22/2023 First stage of roof installation is complete.  Roof rock installation will be completed over Thanksgiving break.</t>
  </si>
  <si>
    <t>09/06/2023:  Structural engineer has been contacted and working on scheduling meeting to discuss the proposed scope and the needs of the project.</t>
  </si>
  <si>
    <t>Actual Costs</t>
  </si>
  <si>
    <t>FY23 FRP Cash</t>
  </si>
  <si>
    <t>FY24 FRP Cash</t>
  </si>
  <si>
    <t>Facility Renewal Program: Summary by Project Phase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</si>
</sst>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409]mmmm\ d\,\ yyyy;@"/>
    <numFmt numFmtId="168" formatCode="_(&quot;$&quot;* #,##0.0_);_(&quot;$&quot;* \(#,##0.0\);_(&quot;$&quot;* &quot;-&quot;??_);_(@_)"/>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2"/>
      <color theme="1"/>
      <name val="Nirmala UI Semilight"/>
      <family val="2"/>
    </font>
    <font>
      <b/>
      <sz val="11"/>
      <color rgb="FF000000"/>
      <name val="Calibri"/>
      <family val="2"/>
      <scheme val="minor"/>
    </font>
    <font>
      <sz val="11"/>
      <color theme="5"/>
      <name val="Calibri"/>
      <family val="2"/>
      <scheme val="minor"/>
    </font>
    <font>
      <i/>
      <sz val="10"/>
      <name val="Calibri"/>
      <family val="2"/>
      <scheme val="minor"/>
    </font>
    <font>
      <b/>
      <i/>
      <sz val="11"/>
      <color theme="1"/>
      <name val="Calibri"/>
      <family val="2"/>
      <scheme val="minor"/>
    </font>
    <font>
      <i/>
      <sz val="11"/>
      <color theme="1"/>
      <name val="Calibri"/>
      <family val="2"/>
      <scheme val="minor"/>
    </font>
    <font>
      <sz val="10"/>
      <name val="Tahoma"/>
      <family val="2"/>
    </font>
    <font>
      <b/>
      <u/>
      <sz val="11"/>
      <color theme="1"/>
      <name val="Calibri"/>
      <family val="2"/>
      <scheme val="minor"/>
    </font>
    <font>
      <sz val="11"/>
      <color rgb="FFC00000"/>
      <name val="Calibri"/>
      <family val="2"/>
      <scheme val="minor"/>
    </font>
    <font>
      <sz val="9"/>
      <color theme="1"/>
      <name val="Calibri"/>
      <family val="2"/>
      <scheme val="minor"/>
    </font>
    <font>
      <i/>
      <sz val="9"/>
      <color theme="1"/>
      <name val="Calibri"/>
      <family val="2"/>
      <scheme val="minor"/>
    </font>
    <font>
      <sz val="12"/>
      <color rgb="FF474F61"/>
      <name val="Arial"/>
      <family val="2"/>
    </font>
    <font>
      <i/>
      <sz val="10"/>
      <color theme="1"/>
      <name val="Calibri"/>
      <family val="2"/>
      <scheme val="minor"/>
    </font>
    <font>
      <u/>
      <sz val="11"/>
      <color theme="10"/>
      <name val="Calibri"/>
      <family val="2"/>
      <scheme val="minor"/>
    </font>
    <font>
      <sz val="11"/>
      <color rgb="FFFF0000"/>
      <name val="Calibri"/>
      <family val="2"/>
      <scheme val="minor"/>
    </font>
    <font>
      <sz val="16"/>
      <color theme="0"/>
      <name val="Calibri"/>
      <family val="2"/>
      <scheme val="minor"/>
    </font>
    <font>
      <i/>
      <sz val="11"/>
      <color rgb="FF7F7F7F"/>
      <name val="Calibri"/>
      <family val="2"/>
      <scheme val="minor"/>
    </font>
    <font>
      <i/>
      <sz val="16"/>
      <color rgb="FF7F7F7F"/>
      <name val="Calibri"/>
      <family val="2"/>
      <scheme val="minor"/>
    </font>
    <font>
      <u/>
      <sz val="11"/>
      <color theme="8" tint="-0.499984740745262"/>
      <name val="Calibri"/>
      <family val="2"/>
      <scheme val="minor"/>
    </font>
  </fonts>
  <fills count="34">
    <fill>
      <patternFill patternType="none"/>
    </fill>
    <fill>
      <patternFill patternType="gray125"/>
    </fill>
    <fill>
      <patternFill patternType="solid">
        <fgColor theme="8"/>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59999389629810485"/>
        <bgColor indexed="65"/>
      </patternFill>
    </fill>
    <fill>
      <patternFill patternType="solid">
        <fgColor theme="9"/>
        <bgColor indexed="64"/>
      </patternFill>
    </fill>
    <fill>
      <patternFill patternType="solid">
        <fgColor theme="9" tint="0.79998168889431442"/>
        <bgColor indexed="64"/>
      </patternFill>
    </fill>
    <fill>
      <patternFill patternType="solid">
        <fgColor theme="5"/>
      </patternFill>
    </fill>
    <fill>
      <patternFill patternType="solid">
        <fgColor theme="0"/>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2" tint="-0.249977111117893"/>
        <bgColor indexed="64"/>
      </patternFill>
    </fill>
    <fill>
      <patternFill patternType="solid">
        <fgColor theme="2"/>
        <bgColor indexed="64"/>
      </patternFill>
    </fill>
    <fill>
      <patternFill patternType="solid">
        <fgColor theme="6"/>
      </patternFill>
    </fill>
    <fill>
      <patternFill patternType="solid">
        <fgColor theme="5" tint="0.59999389629810485"/>
        <bgColor indexed="64"/>
      </patternFill>
    </fill>
    <fill>
      <patternFill patternType="solid">
        <fgColor theme="4"/>
      </patternFill>
    </fill>
    <fill>
      <patternFill patternType="solid">
        <fgColor theme="4" tint="0.59999389629810485"/>
        <bgColor indexed="65"/>
      </patternFill>
    </fill>
    <fill>
      <patternFill patternType="solid">
        <fgColor theme="7"/>
      </patternFill>
    </fill>
    <fill>
      <patternFill patternType="solid">
        <fgColor theme="7" tint="0.59999389629810485"/>
        <bgColor indexed="65"/>
      </patternFill>
    </fill>
    <fill>
      <patternFill patternType="solid">
        <fgColor theme="8" tint="0.59999389629810485"/>
        <bgColor indexed="65"/>
      </patternFill>
    </fill>
    <fill>
      <patternFill patternType="solid">
        <fgColor theme="8" tint="-0.249977111117893"/>
        <bgColor indexed="64"/>
      </patternFill>
    </fill>
    <fill>
      <patternFill patternType="solid">
        <fgColor theme="8" tint="0.39997558519241921"/>
        <bgColor indexed="64"/>
      </patternFill>
    </fill>
  </fills>
  <borders count="14">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E5E6E7"/>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7">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12" borderId="0" applyNumberFormat="0" applyBorder="0" applyAlignment="0" applyProtection="0"/>
    <xf numFmtId="0" fontId="2" fillId="15" borderId="0" applyNumberFormat="0" applyBorder="0" applyAlignment="0" applyProtection="0"/>
    <xf numFmtId="49" fontId="13" fillId="16" borderId="0">
      <protection locked="0"/>
    </xf>
    <xf numFmtId="9" fontId="1" fillId="0" borderId="0" applyFont="0" applyFill="0" applyBorder="0" applyAlignment="0" applyProtection="0"/>
    <xf numFmtId="0" fontId="18" fillId="22" borderId="5">
      <alignment horizontal="left" vertical="center" wrapText="1"/>
    </xf>
    <xf numFmtId="0" fontId="2" fillId="25" borderId="0" applyNumberFormat="0" applyBorder="0" applyAlignment="0" applyProtection="0"/>
    <xf numFmtId="0" fontId="20" fillId="0" borderId="0" applyNumberFormat="0" applyFill="0" applyBorder="0" applyAlignment="0" applyProtection="0"/>
    <xf numFmtId="0" fontId="2" fillId="27" borderId="0" applyNumberFormat="0" applyBorder="0" applyAlignment="0" applyProtection="0"/>
    <xf numFmtId="0" fontId="1" fillId="28" borderId="0" applyNumberFormat="0" applyBorder="0" applyAlignment="0" applyProtection="0"/>
    <xf numFmtId="0" fontId="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3" fillId="0" borderId="0" applyNumberFormat="0" applyFill="0" applyBorder="0" applyAlignment="0" applyProtection="0"/>
  </cellStyleXfs>
  <cellXfs count="222">
    <xf numFmtId="0" fontId="0" fillId="0" borderId="0" xfId="0"/>
    <xf numFmtId="0" fontId="2" fillId="3" borderId="0" xfId="3" applyFill="1"/>
    <xf numFmtId="0" fontId="2" fillId="3" borderId="0" xfId="3" applyFill="1" applyAlignment="1">
      <alignment horizontal="center"/>
    </xf>
    <xf numFmtId="0" fontId="3" fillId="0" borderId="0" xfId="0" applyFont="1"/>
    <xf numFmtId="164" fontId="3" fillId="4" borderId="0" xfId="1" applyNumberFormat="1" applyFont="1" applyFill="1"/>
    <xf numFmtId="164" fontId="2" fillId="3" borderId="0" xfId="1" applyNumberFormat="1" applyFont="1" applyFill="1"/>
    <xf numFmtId="0" fontId="7" fillId="0" borderId="0" xfId="0" applyFont="1" applyAlignment="1">
      <alignment horizontal="left" vertical="center" indent="1"/>
    </xf>
    <xf numFmtId="0" fontId="7" fillId="0" borderId="0" xfId="0" applyFont="1" applyAlignment="1">
      <alignment horizontal="left" vertical="center" indent="2"/>
    </xf>
    <xf numFmtId="0" fontId="0" fillId="0" borderId="0" xfId="0" applyAlignment="1">
      <alignment wrapText="1"/>
    </xf>
    <xf numFmtId="0" fontId="6" fillId="8" borderId="0" xfId="0" applyFont="1" applyFill="1" applyAlignment="1">
      <alignment horizontal="center" vertical="center" wrapText="1" readingOrder="1"/>
    </xf>
    <xf numFmtId="0" fontId="4" fillId="0" borderId="0" xfId="0" applyFont="1"/>
    <xf numFmtId="0" fontId="3" fillId="0" borderId="0" xfId="0" applyFont="1" applyAlignment="1">
      <alignment horizontal="left" vertical="center" readingOrder="1"/>
    </xf>
    <xf numFmtId="166" fontId="9" fillId="0" borderId="0" xfId="2" applyNumberFormat="1" applyFont="1" applyBorder="1" applyAlignment="1">
      <alignment horizontal="center"/>
    </xf>
    <xf numFmtId="0" fontId="2" fillId="9" borderId="0" xfId="0" applyFont="1" applyFill="1"/>
    <xf numFmtId="0" fontId="2" fillId="9" borderId="0" xfId="0" applyFont="1" applyFill="1" applyAlignment="1">
      <alignment horizontal="center"/>
    </xf>
    <xf numFmtId="164" fontId="0" fillId="0" borderId="0" xfId="1" applyNumberFormat="1" applyFont="1" applyBorder="1" applyAlignment="1"/>
    <xf numFmtId="165" fontId="0" fillId="0" borderId="0" xfId="2" applyNumberFormat="1" applyFont="1" applyBorder="1" applyAlignment="1"/>
    <xf numFmtId="164" fontId="0" fillId="0" borderId="1" xfId="1" applyNumberFormat="1" applyFont="1" applyBorder="1" applyAlignment="1"/>
    <xf numFmtId="165" fontId="0" fillId="0" borderId="1" xfId="0" applyNumberFormat="1" applyBorder="1"/>
    <xf numFmtId="167" fontId="0" fillId="0" borderId="0" xfId="0" applyNumberFormat="1" applyAlignment="1">
      <alignment horizontal="left"/>
    </xf>
    <xf numFmtId="0" fontId="12" fillId="0" borderId="0" xfId="0" applyFont="1"/>
    <xf numFmtId="164" fontId="0" fillId="0" borderId="0" xfId="1" applyNumberFormat="1" applyFont="1"/>
    <xf numFmtId="0" fontId="0" fillId="0" borderId="0" xfId="0" applyAlignment="1">
      <alignment horizontal="left" indent="1"/>
    </xf>
    <xf numFmtId="164" fontId="2" fillId="6" borderId="0" xfId="4" applyNumberFormat="1" applyFont="1" applyFill="1"/>
    <xf numFmtId="168" fontId="2" fillId="6" borderId="0" xfId="4" applyNumberFormat="1" applyFont="1" applyFill="1"/>
    <xf numFmtId="164" fontId="6" fillId="6" borderId="0" xfId="4" applyNumberFormat="1" applyFont="1" applyFill="1"/>
    <xf numFmtId="0" fontId="0" fillId="0" borderId="0" xfId="0" pivotButton="1"/>
    <xf numFmtId="0" fontId="0" fillId="0" borderId="0" xfId="0" applyAlignment="1">
      <alignment horizontal="left"/>
    </xf>
    <xf numFmtId="3" fontId="0" fillId="0" borderId="0" xfId="0" applyNumberFormat="1"/>
    <xf numFmtId="168" fontId="2" fillId="10" borderId="0" xfId="4" applyNumberFormat="1" applyFont="1" applyFill="1" applyAlignment="1">
      <alignment horizontal="center" wrapText="1"/>
    </xf>
    <xf numFmtId="168" fontId="2" fillId="8" borderId="0" xfId="4" applyNumberFormat="1" applyFont="1" applyFill="1" applyAlignment="1">
      <alignment horizontal="center" wrapText="1"/>
    </xf>
    <xf numFmtId="0" fontId="12" fillId="0" borderId="0" xfId="0" applyFont="1" applyAlignment="1">
      <alignment horizontal="center"/>
    </xf>
    <xf numFmtId="165" fontId="12" fillId="0" borderId="0" xfId="2" applyNumberFormat="1" applyFont="1"/>
    <xf numFmtId="165" fontId="12" fillId="0" borderId="2" xfId="2" applyNumberFormat="1" applyFont="1" applyBorder="1"/>
    <xf numFmtId="0" fontId="12" fillId="0" borderId="0" xfId="0" applyFont="1" applyAlignment="1">
      <alignment horizontal="left" indent="1"/>
    </xf>
    <xf numFmtId="14" fontId="0" fillId="0" borderId="0" xfId="0" applyNumberFormat="1"/>
    <xf numFmtId="14" fontId="0" fillId="0" borderId="0" xfId="0" applyNumberFormat="1" applyAlignment="1">
      <alignment wrapText="1"/>
    </xf>
    <xf numFmtId="165" fontId="0" fillId="0" borderId="0" xfId="0" applyNumberFormat="1"/>
    <xf numFmtId="0" fontId="6" fillId="8" borderId="0" xfId="0" applyFont="1" applyFill="1" applyAlignment="1">
      <alignment horizontal="center" vertical="center" readingOrder="1"/>
    </xf>
    <xf numFmtId="0" fontId="6" fillId="8" borderId="0" xfId="0" applyFont="1" applyFill="1" applyAlignment="1">
      <alignment horizontal="center" readingOrder="1"/>
    </xf>
    <xf numFmtId="0" fontId="6" fillId="8" borderId="0" xfId="0" applyFont="1" applyFill="1" applyAlignment="1">
      <alignment horizontal="left" readingOrder="1"/>
    </xf>
    <xf numFmtId="0" fontId="6" fillId="6" borderId="0" xfId="0" applyFont="1" applyFill="1" applyAlignment="1">
      <alignment horizontal="center" readingOrder="1"/>
    </xf>
    <xf numFmtId="44" fontId="3" fillId="5" borderId="0" xfId="2" applyFont="1" applyFill="1" applyBorder="1" applyAlignment="1">
      <alignment horizontal="right" vertical="center" readingOrder="1"/>
    </xf>
    <xf numFmtId="0" fontId="6" fillId="15" borderId="0" xfId="5" applyFont="1"/>
    <xf numFmtId="44" fontId="0" fillId="0" borderId="0" xfId="2" applyFont="1"/>
    <xf numFmtId="44" fontId="0" fillId="0" borderId="0" xfId="0" applyNumberFormat="1"/>
    <xf numFmtId="44" fontId="0" fillId="0" borderId="2" xfId="0" applyNumberFormat="1" applyBorder="1"/>
    <xf numFmtId="44" fontId="4" fillId="0" borderId="0" xfId="0" applyNumberFormat="1" applyFont="1"/>
    <xf numFmtId="0" fontId="14" fillId="0" borderId="0" xfId="0" applyFont="1"/>
    <xf numFmtId="0" fontId="0" fillId="0" borderId="3" xfId="0" applyBorder="1" applyAlignment="1">
      <alignment horizontal="left" indent="1"/>
    </xf>
    <xf numFmtId="44" fontId="0" fillId="0" borderId="3" xfId="2" applyFont="1" applyBorder="1"/>
    <xf numFmtId="0" fontId="12" fillId="0" borderId="0" xfId="0" applyFont="1" applyAlignment="1">
      <alignment horizontal="right"/>
    </xf>
    <xf numFmtId="0" fontId="4" fillId="17" borderId="0" xfId="0" applyFont="1" applyFill="1"/>
    <xf numFmtId="44" fontId="4" fillId="17" borderId="0" xfId="2" applyFont="1" applyFill="1"/>
    <xf numFmtId="0" fontId="0" fillId="18" borderId="0" xfId="0" applyFill="1"/>
    <xf numFmtId="44" fontId="0" fillId="18" borderId="0" xfId="2" applyFont="1" applyFill="1"/>
    <xf numFmtId="0" fontId="0" fillId="4" borderId="0" xfId="0" applyFill="1"/>
    <xf numFmtId="44" fontId="0" fillId="4" borderId="0" xfId="2" applyFont="1" applyFill="1"/>
    <xf numFmtId="165" fontId="0" fillId="5" borderId="0" xfId="2" applyNumberFormat="1" applyFont="1" applyFill="1"/>
    <xf numFmtId="165" fontId="0" fillId="11" borderId="0" xfId="2" applyNumberFormat="1" applyFont="1" applyFill="1"/>
    <xf numFmtId="165" fontId="0" fillId="7" borderId="0" xfId="2" applyNumberFormat="1" applyFont="1" applyFill="1"/>
    <xf numFmtId="0" fontId="0" fillId="0" borderId="0" xfId="0" applyAlignment="1">
      <alignment horizontal="center"/>
    </xf>
    <xf numFmtId="165" fontId="6" fillId="8" borderId="0" xfId="4" applyNumberFormat="1" applyFont="1" applyFill="1"/>
    <xf numFmtId="165" fontId="6" fillId="10" borderId="0" xfId="4" applyNumberFormat="1" applyFont="1" applyFill="1"/>
    <xf numFmtId="165" fontId="6" fillId="6" borderId="0" xfId="4" applyNumberFormat="1" applyFont="1" applyFill="1"/>
    <xf numFmtId="164" fontId="2" fillId="6" borderId="0" xfId="4" applyNumberFormat="1" applyFont="1" applyFill="1" applyAlignment="1">
      <alignment wrapText="1"/>
    </xf>
    <xf numFmtId="164" fontId="2" fillId="6" borderId="0" xfId="4" applyNumberFormat="1" applyFont="1" applyFill="1" applyAlignment="1">
      <alignment horizontal="center" wrapText="1"/>
    </xf>
    <xf numFmtId="164" fontId="0" fillId="5" borderId="0" xfId="1" applyNumberFormat="1" applyFont="1" applyFill="1"/>
    <xf numFmtId="164" fontId="0" fillId="11" borderId="0" xfId="1" applyNumberFormat="1" applyFont="1" applyFill="1"/>
    <xf numFmtId="164" fontId="0" fillId="7" borderId="0" xfId="1" applyNumberFormat="1" applyFont="1" applyFill="1"/>
    <xf numFmtId="0" fontId="0" fillId="0" borderId="0" xfId="0" quotePrefix="1" applyAlignment="1">
      <alignment horizontal="center"/>
    </xf>
    <xf numFmtId="44" fontId="0" fillId="0" borderId="0" xfId="2" applyFont="1" applyBorder="1" applyAlignment="1">
      <alignment wrapText="1"/>
    </xf>
    <xf numFmtId="44" fontId="0" fillId="0" borderId="0" xfId="2" quotePrefix="1" applyFont="1" applyAlignment="1">
      <alignment horizontal="center"/>
    </xf>
    <xf numFmtId="44" fontId="2" fillId="10" borderId="0" xfId="2" applyFont="1" applyFill="1" applyAlignment="1">
      <alignment horizontal="center" wrapText="1"/>
    </xf>
    <xf numFmtId="44" fontId="2" fillId="8" borderId="0" xfId="2" applyFont="1" applyFill="1" applyAlignment="1">
      <alignment horizontal="center" wrapText="1"/>
    </xf>
    <xf numFmtId="44" fontId="0" fillId="11" borderId="0" xfId="2" applyFont="1" applyFill="1"/>
    <xf numFmtId="44" fontId="12" fillId="0" borderId="0" xfId="2" applyFont="1"/>
    <xf numFmtId="165" fontId="2" fillId="19" borderId="1" xfId="0" applyNumberFormat="1" applyFont="1" applyFill="1" applyBorder="1"/>
    <xf numFmtId="44" fontId="4" fillId="0" borderId="0" xfId="2" applyFont="1"/>
    <xf numFmtId="9" fontId="0" fillId="0" borderId="0" xfId="7" applyFont="1"/>
    <xf numFmtId="0" fontId="0" fillId="0" borderId="4" xfId="0" applyBorder="1" applyAlignment="1">
      <alignment horizontal="center"/>
    </xf>
    <xf numFmtId="44" fontId="12" fillId="0" borderId="0" xfId="0" applyNumberFormat="1" applyFont="1"/>
    <xf numFmtId="165" fontId="6" fillId="10" borderId="0" xfId="2" applyNumberFormat="1" applyFont="1" applyFill="1"/>
    <xf numFmtId="165" fontId="6" fillId="8" borderId="0" xfId="2" applyNumberFormat="1" applyFont="1" applyFill="1"/>
    <xf numFmtId="0" fontId="15" fillId="0" borderId="0" xfId="0" quotePrefix="1" applyFont="1"/>
    <xf numFmtId="0" fontId="4"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14" fontId="0" fillId="0" borderId="0" xfId="0" applyNumberFormat="1" applyAlignment="1">
      <alignment vertical="center"/>
    </xf>
    <xf numFmtId="167" fontId="0" fillId="0" borderId="0" xfId="0" applyNumberFormat="1" applyAlignment="1">
      <alignment vertical="center"/>
    </xf>
    <xf numFmtId="0" fontId="6" fillId="8" borderId="0" xfId="0" applyFont="1" applyFill="1" applyAlignment="1">
      <alignment horizontal="left" vertical="center" wrapText="1" readingOrder="1"/>
    </xf>
    <xf numFmtId="0" fontId="0" fillId="0" borderId="1" xfId="0" applyBorder="1" applyAlignment="1">
      <alignment vertical="center"/>
    </xf>
    <xf numFmtId="0" fontId="4" fillId="0" borderId="1" xfId="0" applyFont="1" applyBorder="1" applyAlignment="1">
      <alignment vertical="center"/>
    </xf>
    <xf numFmtId="0" fontId="16" fillId="0" borderId="0" xfId="0" applyFont="1"/>
    <xf numFmtId="14" fontId="16" fillId="0" borderId="0" xfId="0" applyNumberFormat="1" applyFont="1"/>
    <xf numFmtId="0" fontId="17" fillId="0" borderId="0" xfId="0" applyFont="1"/>
    <xf numFmtId="166" fontId="0" fillId="0" borderId="0" xfId="0" applyNumberFormat="1"/>
    <xf numFmtId="0" fontId="11" fillId="0" borderId="0" xfId="0" applyFont="1" applyAlignment="1">
      <alignment vertical="center"/>
    </xf>
    <xf numFmtId="0" fontId="0" fillId="0" borderId="0" xfId="0" applyAlignment="1">
      <alignment horizontal="left" vertical="center" indent="1"/>
    </xf>
    <xf numFmtId="44" fontId="3" fillId="0" borderId="0" xfId="2" applyFont="1" applyFill="1" applyBorder="1" applyAlignment="1">
      <alignment horizontal="right" vertical="center" readingOrder="1"/>
    </xf>
    <xf numFmtId="0" fontId="3" fillId="0" borderId="0" xfId="0" applyFont="1" applyAlignment="1">
      <alignment vertical="center"/>
    </xf>
    <xf numFmtId="0" fontId="3" fillId="0" borderId="6" xfId="0" applyFont="1" applyBorder="1" applyAlignment="1">
      <alignment horizontal="left" vertical="center" readingOrder="1"/>
    </xf>
    <xf numFmtId="0" fontId="3" fillId="14" borderId="6" xfId="0" applyFont="1" applyFill="1" applyBorder="1" applyAlignment="1">
      <alignment horizontal="left" vertical="center" readingOrder="1"/>
    </xf>
    <xf numFmtId="0" fontId="10" fillId="0" borderId="6" xfId="0" applyFont="1" applyBorder="1" applyAlignment="1">
      <alignment vertical="center"/>
    </xf>
    <xf numFmtId="0" fontId="0" fillId="14" borderId="1" xfId="0" applyFill="1" applyBorder="1" applyAlignment="1">
      <alignment vertical="center"/>
    </xf>
    <xf numFmtId="0" fontId="0" fillId="0" borderId="0" xfId="0" applyAlignment="1">
      <alignment horizontal="left" vertical="center"/>
    </xf>
    <xf numFmtId="165" fontId="0" fillId="11" borderId="0" xfId="2" applyNumberFormat="1" applyFont="1" applyFill="1" applyAlignment="1">
      <alignment horizontal="right"/>
    </xf>
    <xf numFmtId="165" fontId="0" fillId="7" borderId="0" xfId="2" applyNumberFormat="1" applyFont="1" applyFill="1" applyAlignment="1">
      <alignment horizontal="right"/>
    </xf>
    <xf numFmtId="0" fontId="19" fillId="0" borderId="0" xfId="0" applyFont="1"/>
    <xf numFmtId="44" fontId="12" fillId="0" borderId="0" xfId="2" applyFont="1" applyFill="1"/>
    <xf numFmtId="44" fontId="0" fillId="0" borderId="0" xfId="2" applyFont="1" applyFill="1"/>
    <xf numFmtId="44" fontId="1" fillId="0" borderId="0" xfId="2" applyFont="1" applyFill="1"/>
    <xf numFmtId="164" fontId="0" fillId="0" borderId="0" xfId="1" applyNumberFormat="1" applyFont="1" applyBorder="1" applyAlignment="1">
      <alignment vertical="center"/>
    </xf>
    <xf numFmtId="164" fontId="6" fillId="13" borderId="0" xfId="1" applyNumberFormat="1" applyFont="1" applyFill="1" applyBorder="1" applyAlignment="1">
      <alignment horizontal="center" vertical="center" wrapText="1" readingOrder="1"/>
    </xf>
    <xf numFmtId="164" fontId="6" fillId="8" borderId="0" xfId="1" applyNumberFormat="1" applyFont="1" applyFill="1" applyBorder="1" applyAlignment="1">
      <alignment horizontal="center" vertical="center" wrapText="1" readingOrder="1"/>
    </xf>
    <xf numFmtId="164" fontId="6" fillId="10" borderId="0" xfId="1" applyNumberFormat="1" applyFont="1" applyFill="1" applyBorder="1" applyAlignment="1">
      <alignment horizontal="center" vertical="center" wrapText="1" readingOrder="1"/>
    </xf>
    <xf numFmtId="164" fontId="3" fillId="21" borderId="6" xfId="1" applyNumberFormat="1" applyFont="1" applyFill="1" applyBorder="1" applyAlignment="1">
      <alignment horizontal="right" vertical="center" readingOrder="1"/>
    </xf>
    <xf numFmtId="164" fontId="3" fillId="7" borderId="6" xfId="1" applyNumberFormat="1" applyFont="1" applyFill="1" applyBorder="1" applyAlignment="1">
      <alignment horizontal="right" vertical="center" readingOrder="1"/>
    </xf>
    <xf numFmtId="164" fontId="3" fillId="20" borderId="6" xfId="1" applyNumberFormat="1" applyFont="1" applyFill="1" applyBorder="1" applyAlignment="1">
      <alignment horizontal="right" vertical="center" readingOrder="1"/>
    </xf>
    <xf numFmtId="164" fontId="4" fillId="21" borderId="1" xfId="1" applyNumberFormat="1" applyFont="1" applyFill="1" applyBorder="1" applyAlignment="1">
      <alignment vertical="center"/>
    </xf>
    <xf numFmtId="164" fontId="4" fillId="7" borderId="1" xfId="1" applyNumberFormat="1" applyFont="1" applyFill="1" applyBorder="1" applyAlignment="1">
      <alignment vertical="center"/>
    </xf>
    <xf numFmtId="164" fontId="8" fillId="20" borderId="1" xfId="1" applyNumberFormat="1" applyFont="1" applyFill="1" applyBorder="1" applyAlignment="1">
      <alignment horizontal="right" vertical="center" readingOrder="1"/>
    </xf>
    <xf numFmtId="164" fontId="17" fillId="0" borderId="0" xfId="1" applyNumberFormat="1" applyFont="1" applyBorder="1" applyAlignment="1">
      <alignment vertical="center"/>
    </xf>
    <xf numFmtId="164" fontId="6" fillId="6" borderId="0" xfId="1" applyNumberFormat="1" applyFont="1" applyFill="1" applyBorder="1" applyAlignment="1">
      <alignment horizontal="center" vertical="center" wrapText="1" readingOrder="1"/>
    </xf>
    <xf numFmtId="164" fontId="3" fillId="17" borderId="6" xfId="1" applyNumberFormat="1" applyFont="1" applyFill="1" applyBorder="1" applyAlignment="1">
      <alignment horizontal="right" vertical="center" readingOrder="1"/>
    </xf>
    <xf numFmtId="164" fontId="8" fillId="17" borderId="1" xfId="1" applyNumberFormat="1" applyFont="1" applyFill="1" applyBorder="1" applyAlignment="1">
      <alignment horizontal="right" vertical="center" readingOrder="1"/>
    </xf>
    <xf numFmtId="44" fontId="2" fillId="13" borderId="0" xfId="2" applyFont="1" applyFill="1" applyAlignment="1">
      <alignment horizontal="center" wrapText="1"/>
    </xf>
    <xf numFmtId="165" fontId="0" fillId="21" borderId="0" xfId="2" applyNumberFormat="1" applyFont="1" applyFill="1" applyAlignment="1">
      <alignment horizontal="right"/>
    </xf>
    <xf numFmtId="165" fontId="6" fillId="13" borderId="0" xfId="2" applyNumberFormat="1" applyFont="1" applyFill="1"/>
    <xf numFmtId="164" fontId="2" fillId="23" borderId="0" xfId="4" applyNumberFormat="1" applyFont="1" applyFill="1"/>
    <xf numFmtId="164" fontId="2" fillId="23" borderId="0" xfId="4" applyNumberFormat="1" applyFont="1" applyFill="1" applyAlignment="1">
      <alignment horizontal="center" wrapText="1"/>
    </xf>
    <xf numFmtId="168" fontId="2" fillId="23" borderId="0" xfId="4" applyNumberFormat="1" applyFont="1" applyFill="1"/>
    <xf numFmtId="164" fontId="6" fillId="23" borderId="0" xfId="4" applyNumberFormat="1" applyFont="1" applyFill="1"/>
    <xf numFmtId="165" fontId="6" fillId="23" borderId="0" xfId="4" applyNumberFormat="1" applyFont="1" applyFill="1"/>
    <xf numFmtId="165" fontId="0" fillId="24" borderId="0" xfId="2" applyNumberFormat="1" applyFont="1" applyFill="1"/>
    <xf numFmtId="168" fontId="2" fillId="6" borderId="0" xfId="4" applyNumberFormat="1" applyFont="1" applyFill="1" applyAlignment="1">
      <alignment horizontal="center" wrapText="1"/>
    </xf>
    <xf numFmtId="168" fontId="2" fillId="13" borderId="0" xfId="4" applyNumberFormat="1" applyFont="1" applyFill="1" applyAlignment="1">
      <alignment horizontal="center" wrapText="1"/>
    </xf>
    <xf numFmtId="165" fontId="6" fillId="13" borderId="0" xfId="4" applyNumberFormat="1" applyFont="1" applyFill="1"/>
    <xf numFmtId="165" fontId="0" fillId="21" borderId="0" xfId="2" applyNumberFormat="1" applyFont="1" applyFill="1"/>
    <xf numFmtId="164" fontId="0" fillId="21" borderId="0" xfId="1" applyNumberFormat="1" applyFont="1" applyFill="1"/>
    <xf numFmtId="168" fontId="2" fillId="6" borderId="7" xfId="4" applyNumberFormat="1" applyFont="1" applyFill="1" applyBorder="1" applyAlignment="1">
      <alignment horizontal="center" wrapText="1"/>
    </xf>
    <xf numFmtId="168" fontId="2" fillId="10" borderId="8" xfId="4" applyNumberFormat="1" applyFont="1" applyFill="1" applyBorder="1" applyAlignment="1">
      <alignment horizontal="center" wrapText="1"/>
    </xf>
    <xf numFmtId="168" fontId="2" fillId="13" borderId="8" xfId="4" applyNumberFormat="1" applyFont="1" applyFill="1" applyBorder="1" applyAlignment="1">
      <alignment horizontal="center"/>
    </xf>
    <xf numFmtId="168" fontId="2" fillId="8" borderId="9" xfId="4" applyNumberFormat="1" applyFont="1" applyFill="1" applyBorder="1" applyAlignment="1">
      <alignment horizontal="center" wrapText="1"/>
    </xf>
    <xf numFmtId="168" fontId="0" fillId="5" borderId="10" xfId="2" applyNumberFormat="1" applyFont="1" applyFill="1" applyBorder="1"/>
    <xf numFmtId="168" fontId="0" fillId="11" borderId="0" xfId="2" applyNumberFormat="1" applyFont="1" applyFill="1" applyBorder="1"/>
    <xf numFmtId="168" fontId="0" fillId="14" borderId="0" xfId="2" applyNumberFormat="1" applyFont="1" applyFill="1" applyBorder="1"/>
    <xf numFmtId="168" fontId="0" fillId="7" borderId="11" xfId="2" applyNumberFormat="1" applyFont="1" applyFill="1" applyBorder="1"/>
    <xf numFmtId="168" fontId="6" fillId="6" borderId="12" xfId="4" applyNumberFormat="1" applyFont="1" applyFill="1" applyBorder="1"/>
    <xf numFmtId="168" fontId="6" fillId="10" borderId="4" xfId="4" applyNumberFormat="1" applyFont="1" applyFill="1" applyBorder="1"/>
    <xf numFmtId="168" fontId="6" fillId="13" borderId="4" xfId="4" applyNumberFormat="1" applyFont="1" applyFill="1" applyBorder="1"/>
    <xf numFmtId="168" fontId="6" fillId="8" borderId="13" xfId="4" applyNumberFormat="1" applyFont="1" applyFill="1" applyBorder="1"/>
    <xf numFmtId="168" fontId="2" fillId="10" borderId="7" xfId="4" applyNumberFormat="1" applyFont="1" applyFill="1" applyBorder="1" applyAlignment="1">
      <alignment horizontal="center" wrapText="1"/>
    </xf>
    <xf numFmtId="168" fontId="2" fillId="6" borderId="8" xfId="4" applyNumberFormat="1" applyFont="1" applyFill="1" applyBorder="1" applyAlignment="1">
      <alignment horizontal="center" wrapText="1"/>
    </xf>
    <xf numFmtId="168" fontId="0" fillId="11" borderId="10" xfId="2" applyNumberFormat="1" applyFont="1" applyFill="1" applyBorder="1"/>
    <xf numFmtId="168" fontId="0" fillId="5" borderId="0" xfId="2" applyNumberFormat="1" applyFont="1" applyFill="1" applyBorder="1"/>
    <xf numFmtId="168" fontId="6" fillId="10" borderId="12" xfId="4" applyNumberFormat="1" applyFont="1" applyFill="1" applyBorder="1"/>
    <xf numFmtId="168" fontId="6" fillId="6" borderId="4" xfId="4" applyNumberFormat="1" applyFont="1" applyFill="1" applyBorder="1"/>
    <xf numFmtId="165" fontId="0" fillId="0" borderId="0" xfId="2" applyNumberFormat="1" applyFont="1"/>
    <xf numFmtId="164" fontId="12" fillId="0" borderId="0" xfId="1" applyNumberFormat="1" applyFont="1" applyBorder="1" applyAlignment="1">
      <alignment vertical="center"/>
    </xf>
    <xf numFmtId="164" fontId="12" fillId="0" borderId="0" xfId="1" applyNumberFormat="1" applyFont="1" applyBorder="1" applyAlignment="1">
      <alignment horizontal="right" vertical="center"/>
    </xf>
    <xf numFmtId="164" fontId="12" fillId="0" borderId="2" xfId="1" applyNumberFormat="1" applyFont="1" applyBorder="1" applyAlignment="1">
      <alignment vertical="center"/>
    </xf>
    <xf numFmtId="0" fontId="12" fillId="0" borderId="2" xfId="0" applyFont="1" applyBorder="1"/>
    <xf numFmtId="0" fontId="0" fillId="0" borderId="2" xfId="0" applyBorder="1"/>
    <xf numFmtId="44" fontId="12" fillId="0" borderId="2" xfId="0" applyNumberFormat="1" applyFont="1" applyBorder="1"/>
    <xf numFmtId="0" fontId="6" fillId="6" borderId="0" xfId="9" applyFont="1" applyFill="1"/>
    <xf numFmtId="44" fontId="6" fillId="6" borderId="0" xfId="9" applyNumberFormat="1" applyFont="1" applyFill="1"/>
    <xf numFmtId="49" fontId="13" fillId="16" borderId="0" xfId="6">
      <protection locked="0"/>
    </xf>
    <xf numFmtId="0" fontId="20" fillId="0" borderId="0" xfId="10" quotePrefix="1"/>
    <xf numFmtId="0" fontId="20" fillId="0" borderId="0" xfId="10" quotePrefix="1" applyAlignment="1">
      <alignment vertical="center"/>
    </xf>
    <xf numFmtId="164" fontId="6" fillId="9" borderId="0" xfId="1" applyNumberFormat="1" applyFont="1" applyFill="1" applyBorder="1" applyAlignment="1">
      <alignment horizontal="center" vertical="center" wrapText="1" readingOrder="1"/>
    </xf>
    <xf numFmtId="164" fontId="3" fillId="26" borderId="6" xfId="1" applyNumberFormat="1" applyFont="1" applyFill="1" applyBorder="1" applyAlignment="1">
      <alignment horizontal="right" vertical="center" readingOrder="1"/>
    </xf>
    <xf numFmtId="164" fontId="8" fillId="26" borderId="1" xfId="1" applyNumberFormat="1" applyFont="1" applyFill="1" applyBorder="1" applyAlignment="1">
      <alignment horizontal="right" vertical="center" readingOrder="1"/>
    </xf>
    <xf numFmtId="0" fontId="21" fillId="0" borderId="0" xfId="0" applyFont="1" applyAlignment="1">
      <alignment horizontal="left" vertical="center" indent="1"/>
    </xf>
    <xf numFmtId="49" fontId="13" fillId="0" borderId="0" xfId="6" applyFill="1">
      <protection locked="0"/>
    </xf>
    <xf numFmtId="164" fontId="0" fillId="0" borderId="0" xfId="0" applyNumberFormat="1"/>
    <xf numFmtId="0" fontId="1" fillId="30" borderId="0" xfId="14"/>
    <xf numFmtId="164" fontId="1" fillId="30" borderId="0" xfId="14" applyNumberFormat="1"/>
    <xf numFmtId="164" fontId="2" fillId="29" borderId="0" xfId="13" applyNumberFormat="1"/>
    <xf numFmtId="0" fontId="1" fillId="31" borderId="0" xfId="15"/>
    <xf numFmtId="164" fontId="1" fillId="31" borderId="0" xfId="15" applyNumberFormat="1"/>
    <xf numFmtId="164" fontId="2" fillId="2" borderId="0" xfId="3" applyNumberFormat="1"/>
    <xf numFmtId="164" fontId="0" fillId="0" borderId="0" xfId="1" applyNumberFormat="1" applyFont="1" applyAlignment="1">
      <alignment horizontal="right"/>
    </xf>
    <xf numFmtId="164" fontId="0" fillId="0" borderId="0" xfId="0" applyNumberFormat="1" applyAlignment="1">
      <alignment horizontal="right"/>
    </xf>
    <xf numFmtId="164" fontId="2" fillId="27" borderId="0" xfId="11" applyNumberFormat="1"/>
    <xf numFmtId="0" fontId="1" fillId="28" borderId="0" xfId="12"/>
    <xf numFmtId="164" fontId="1" fillId="28" borderId="0" xfId="12" applyNumberFormat="1"/>
    <xf numFmtId="0" fontId="2" fillId="29" borderId="0" xfId="13" applyAlignment="1">
      <alignment horizontal="center"/>
    </xf>
    <xf numFmtId="0" fontId="2" fillId="2" borderId="0" xfId="3" applyAlignment="1">
      <alignment horizontal="center"/>
    </xf>
    <xf numFmtId="0" fontId="2" fillId="27" borderId="0" xfId="11" applyAlignment="1">
      <alignment horizontal="center"/>
    </xf>
    <xf numFmtId="0" fontId="24" fillId="0" borderId="0" xfId="16" applyFont="1"/>
    <xf numFmtId="0" fontId="0" fillId="31" borderId="0" xfId="15" applyFont="1" applyAlignment="1">
      <alignment horizontal="center"/>
    </xf>
    <xf numFmtId="0" fontId="1" fillId="31" borderId="0" xfId="15" applyAlignment="1">
      <alignment horizontal="center"/>
    </xf>
    <xf numFmtId="0" fontId="1" fillId="30" borderId="0" xfId="14" applyAlignment="1">
      <alignment horizontal="center"/>
    </xf>
    <xf numFmtId="0" fontId="0" fillId="30" borderId="0" xfId="14" applyFont="1" applyAlignment="1">
      <alignment horizontal="center"/>
    </xf>
    <xf numFmtId="0" fontId="1" fillId="28" borderId="0" xfId="12" applyAlignment="1">
      <alignment horizontal="center"/>
    </xf>
    <xf numFmtId="0" fontId="0" fillId="28" borderId="0" xfId="12" applyFont="1" applyAlignment="1">
      <alignment horizontal="center"/>
    </xf>
    <xf numFmtId="0" fontId="0" fillId="5" borderId="0" xfId="0" applyFill="1"/>
    <xf numFmtId="0" fontId="0" fillId="7" borderId="0" xfId="0" applyFill="1"/>
    <xf numFmtId="0" fontId="0" fillId="11" borderId="0" xfId="0" applyFill="1"/>
    <xf numFmtId="0" fontId="6" fillId="10" borderId="0" xfId="0" applyFont="1" applyFill="1" applyAlignment="1">
      <alignment horizontal="center" readingOrder="1"/>
    </xf>
    <xf numFmtId="164" fontId="6" fillId="32" borderId="0" xfId="1" applyNumberFormat="1" applyFont="1" applyFill="1" applyBorder="1" applyAlignment="1">
      <alignment horizontal="center" vertical="center" wrapText="1" readingOrder="1"/>
    </xf>
    <xf numFmtId="164" fontId="3" fillId="33" borderId="6" xfId="1" applyNumberFormat="1" applyFont="1" applyFill="1" applyBorder="1" applyAlignment="1">
      <alignment horizontal="right" vertical="center" readingOrder="1"/>
    </xf>
    <xf numFmtId="164" fontId="8" fillId="33" borderId="1" xfId="1" applyNumberFormat="1" applyFont="1" applyFill="1" applyBorder="1" applyAlignment="1">
      <alignment horizontal="right" vertical="center" readingOrder="1"/>
    </xf>
    <xf numFmtId="44" fontId="3" fillId="11" borderId="0" xfId="2" applyFont="1" applyFill="1" applyBorder="1" applyAlignment="1">
      <alignment horizontal="right" vertical="center" readingOrder="1"/>
    </xf>
    <xf numFmtId="164" fontId="2" fillId="2" borderId="0" xfId="3" applyNumberFormat="1" applyAlignment="1">
      <alignment vertical="center"/>
    </xf>
    <xf numFmtId="164" fontId="2" fillId="27" borderId="0" xfId="11" applyNumberFormat="1" applyAlignment="1">
      <alignment vertical="center"/>
    </xf>
    <xf numFmtId="164" fontId="2" fillId="10" borderId="0" xfId="3" applyNumberFormat="1" applyFill="1" applyAlignment="1">
      <alignment vertical="center"/>
    </xf>
    <xf numFmtId="165" fontId="12" fillId="0" borderId="0" xfId="0" applyNumberFormat="1" applyFont="1"/>
    <xf numFmtId="164" fontId="20" fillId="0" borderId="0" xfId="10" quotePrefix="1" applyNumberFormat="1" applyBorder="1" applyAlignment="1">
      <alignment vertical="center"/>
    </xf>
    <xf numFmtId="0" fontId="25" fillId="0" borderId="6" xfId="10" applyFont="1" applyBorder="1" applyAlignment="1">
      <alignment horizontal="left" vertical="center" readingOrder="1"/>
    </xf>
    <xf numFmtId="164" fontId="0" fillId="0" borderId="0" xfId="1" applyNumberFormat="1" applyFont="1" applyFill="1"/>
    <xf numFmtId="0" fontId="20" fillId="0" borderId="6" xfId="10" applyBorder="1" applyAlignment="1">
      <alignment horizontal="left" vertical="center" readingOrder="1"/>
    </xf>
    <xf numFmtId="164" fontId="2" fillId="29" borderId="0" xfId="13" applyNumberFormat="1" applyAlignment="1">
      <alignment horizontal="center" vertical="center"/>
    </xf>
    <xf numFmtId="0" fontId="22" fillId="29" borderId="0" xfId="13" applyFont="1" applyAlignment="1">
      <alignment horizontal="center" vertical="center" textRotation="255"/>
    </xf>
    <xf numFmtId="0" fontId="22" fillId="2" borderId="0" xfId="3" applyFont="1" applyAlignment="1">
      <alignment horizontal="center" vertical="center" textRotation="255"/>
    </xf>
    <xf numFmtId="0" fontId="22" fillId="10" borderId="0" xfId="3" applyFont="1" applyFill="1" applyAlignment="1">
      <alignment horizontal="center" vertical="center" textRotation="255"/>
    </xf>
    <xf numFmtId="164" fontId="2" fillId="2" borderId="0" xfId="3" applyNumberFormat="1" applyAlignment="1">
      <alignment horizontal="center" vertical="center"/>
    </xf>
    <xf numFmtId="164" fontId="2" fillId="2" borderId="0" xfId="3" applyNumberFormat="1" applyAlignment="1">
      <alignment horizontal="center" vertical="center" wrapText="1"/>
    </xf>
    <xf numFmtId="164" fontId="2" fillId="10" borderId="0" xfId="3" applyNumberFormat="1" applyFill="1" applyAlignment="1">
      <alignment horizontal="center" vertical="center" wrapText="1"/>
    </xf>
    <xf numFmtId="164" fontId="2" fillId="27" borderId="0" xfId="11" applyNumberFormat="1" applyAlignment="1">
      <alignment horizontal="center" vertical="center"/>
    </xf>
  </cellXfs>
  <cellStyles count="17">
    <cellStyle name="40% - Accent1" xfId="12" builtinId="31"/>
    <cellStyle name="40% - Accent3" xfId="4" builtinId="39"/>
    <cellStyle name="40% - Accent4" xfId="14" builtinId="43"/>
    <cellStyle name="40% - Accent5" xfId="15" builtinId="47"/>
    <cellStyle name="Accent1" xfId="11" builtinId="29"/>
    <cellStyle name="Accent2" xfId="5" builtinId="33"/>
    <cellStyle name="Accent3" xfId="9" builtinId="37"/>
    <cellStyle name="Accent4" xfId="13" builtinId="41"/>
    <cellStyle name="Accent5" xfId="3" builtinId="45"/>
    <cellStyle name="APPS_FormEntry_noborder" xfId="6" xr:uid="{EE5CD5B0-8E1E-4EAB-8BDD-ECDB51721DA7}"/>
    <cellStyle name="Comma" xfId="1" builtinId="3"/>
    <cellStyle name="Currency" xfId="2" builtinId="4"/>
    <cellStyle name="Explanatory Text" xfId="16" builtinId="53"/>
    <cellStyle name="Hyperlink" xfId="10" builtinId="8"/>
    <cellStyle name="Normal" xfId="0" builtinId="0"/>
    <cellStyle name="Percent" xfId="7" builtinId="5"/>
    <cellStyle name="wr_6" xfId="8" xr:uid="{BE1B80FF-AE88-4CBE-B42C-9E9B452B9C7F}"/>
  </cellStyles>
  <dxfs count="0"/>
  <tableStyles count="0" defaultTableStyle="TableStyleMedium2" defaultPivotStyle="PivotStyleLight16"/>
  <colors>
    <mruColors>
      <color rgb="FFFFF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microsoft.com/office/2007/relationships/slicerCache" Target="slicerCaches/slicerCache3.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pivotCacheDefinition" Target="pivotCache/pivotCacheDefinition1.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microsoft.com/office/2017/10/relationships/person" Target="persons/perso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microsoft.com/office/2007/relationships/slicerCache" Target="slicerCaches/slicerCache2.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0</xdr:col>
      <xdr:colOff>1362</xdr:colOff>
      <xdr:row>33</xdr:row>
      <xdr:rowOff>170090</xdr:rowOff>
    </xdr:from>
    <xdr:to>
      <xdr:col>5</xdr:col>
      <xdr:colOff>581025</xdr:colOff>
      <xdr:row>38</xdr:row>
      <xdr:rowOff>1</xdr:rowOff>
    </xdr:to>
    <xdr:sp macro="" textlink="">
      <xdr:nvSpPr>
        <xdr:cNvPr id="2" name="TextBox 1">
          <a:extLst>
            <a:ext uri="{FF2B5EF4-FFF2-40B4-BE49-F238E27FC236}">
              <a16:creationId xmlns:a16="http://schemas.microsoft.com/office/drawing/2014/main" id="{9A062AE8-EF94-46D2-1C7F-15F1CFBDDB5B}"/>
            </a:ext>
          </a:extLst>
        </xdr:cNvPr>
        <xdr:cNvSpPr txBox="1"/>
      </xdr:nvSpPr>
      <xdr:spPr>
        <a:xfrm>
          <a:off x="1362" y="6161315"/>
          <a:ext cx="5894613" cy="7347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(1) - estimated FRP indicates expected funding to be transferred back to the school from FRP program funds. Please note, facility renewal projects may span multiple fiscal years, as such projects may receive funding from multiple fiscal years.</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21738</xdr:colOff>
      <xdr:row>0</xdr:row>
      <xdr:rowOff>121104</xdr:rowOff>
    </xdr:from>
    <xdr:to>
      <xdr:col>16</xdr:col>
      <xdr:colOff>630809</xdr:colOff>
      <xdr:row>8</xdr:row>
      <xdr:rowOff>111579</xdr:rowOff>
    </xdr:to>
    <xdr:pic>
      <xdr:nvPicPr>
        <xdr:cNvPr id="2" name="Picture 1">
          <a:extLst>
            <a:ext uri="{FF2B5EF4-FFF2-40B4-BE49-F238E27FC236}">
              <a16:creationId xmlns:a16="http://schemas.microsoft.com/office/drawing/2014/main" id="{C5BA6385-DE98-282A-6CCA-AEEC52D2D968}"/>
            </a:ext>
          </a:extLst>
        </xdr:cNvPr>
        <xdr:cNvPicPr>
          <a:picLocks noChangeAspect="1"/>
        </xdr:cNvPicPr>
      </xdr:nvPicPr>
      <xdr:blipFill>
        <a:blip xmlns:r="http://schemas.openxmlformats.org/officeDocument/2006/relationships" r:embed="rId1"/>
        <a:stretch>
          <a:fillRect/>
        </a:stretch>
      </xdr:blipFill>
      <xdr:spPr>
        <a:xfrm>
          <a:off x="6936888" y="121104"/>
          <a:ext cx="5206925" cy="1438275"/>
        </a:xfrm>
        <a:prstGeom prst="rect">
          <a:avLst/>
        </a:prstGeom>
        <a:ln>
          <a:solidFill>
            <a:schemeClr val="accent5"/>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44904</xdr:colOff>
      <xdr:row>41</xdr:row>
      <xdr:rowOff>28575</xdr:rowOff>
    </xdr:from>
    <xdr:to>
      <xdr:col>7</xdr:col>
      <xdr:colOff>781050</xdr:colOff>
      <xdr:row>45</xdr:row>
      <xdr:rowOff>39462</xdr:rowOff>
    </xdr:to>
    <xdr:sp macro="" textlink="">
      <xdr:nvSpPr>
        <xdr:cNvPr id="2" name="TextBox 1">
          <a:extLst>
            <a:ext uri="{FF2B5EF4-FFF2-40B4-BE49-F238E27FC236}">
              <a16:creationId xmlns:a16="http://schemas.microsoft.com/office/drawing/2014/main" id="{7A3948AF-1AB2-464A-A54A-AA243F82CF10}"/>
            </a:ext>
          </a:extLst>
        </xdr:cNvPr>
        <xdr:cNvSpPr txBox="1"/>
      </xdr:nvSpPr>
      <xdr:spPr>
        <a:xfrm>
          <a:off x="283029" y="7277100"/>
          <a:ext cx="10508796" cy="7347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(1) - estimated total budget represents the best rough order of magnitude for total project costs.</a:t>
          </a:r>
        </a:p>
        <a:p>
          <a:pPr algn="l"/>
          <a:r>
            <a:rPr lang="en-US" sz="1050"/>
            <a:t>(2) - estimated FYxx FRP indicates expected funding to be transferred back to the school from FRP program funds collected during FYxx.</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306163</xdr:colOff>
      <xdr:row>3</xdr:row>
      <xdr:rowOff>84363</xdr:rowOff>
    </xdr:from>
    <xdr:to>
      <xdr:col>14</xdr:col>
      <xdr:colOff>608226</xdr:colOff>
      <xdr:row>10</xdr:row>
      <xdr:rowOff>66756</xdr:rowOff>
    </xdr:to>
    <mc:AlternateContent xmlns:mc="http://schemas.openxmlformats.org/markup-compatibility/2006" xmlns:a14="http://schemas.microsoft.com/office/drawing/2010/main">
      <mc:Choice Requires="a14">
        <xdr:graphicFrame macro="">
          <xdr:nvGraphicFramePr>
            <xdr:cNvPr id="2" name="Capex / opex">
              <a:extLst>
                <a:ext uri="{FF2B5EF4-FFF2-40B4-BE49-F238E27FC236}">
                  <a16:creationId xmlns:a16="http://schemas.microsoft.com/office/drawing/2014/main" id="{6DEAAFAF-6CB8-3114-F6AC-697185182B06}"/>
                </a:ext>
              </a:extLst>
            </xdr:cNvPr>
            <xdr:cNvGraphicFramePr/>
          </xdr:nvGraphicFramePr>
          <xdr:xfrm>
            <a:off x="0" y="0"/>
            <a:ext cx="0" cy="0"/>
          </xdr:xfrm>
          <a:graphic>
            <a:graphicData uri="http://schemas.microsoft.com/office/drawing/2010/slicer">
              <sle:slicer xmlns:sle="http://schemas.microsoft.com/office/drawing/2010/slicer" name="Capex / opex"/>
            </a:graphicData>
          </a:graphic>
        </xdr:graphicFrame>
      </mc:Choice>
      <mc:Fallback xmlns="">
        <xdr:sp macro="" textlink="">
          <xdr:nvSpPr>
            <xdr:cNvPr id="0" name=""/>
            <xdr:cNvSpPr>
              <a:spLocks noTextEdit="1"/>
            </xdr:cNvSpPr>
          </xdr:nvSpPr>
          <xdr:spPr>
            <a:xfrm>
              <a:off x="11469463" y="812345"/>
              <a:ext cx="1616514" cy="12464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317042</xdr:colOff>
      <xdr:row>3</xdr:row>
      <xdr:rowOff>95248</xdr:rowOff>
    </xdr:from>
    <xdr:to>
      <xdr:col>12</xdr:col>
      <xdr:colOff>50230</xdr:colOff>
      <xdr:row>33</xdr:row>
      <xdr:rowOff>29948</xdr:rowOff>
    </xdr:to>
    <mc:AlternateContent xmlns:mc="http://schemas.openxmlformats.org/markup-compatibility/2006" xmlns:a14="http://schemas.microsoft.com/office/drawing/2010/main">
      <mc:Choice Requires="a14">
        <xdr:graphicFrame macro="">
          <xdr:nvGraphicFramePr>
            <xdr:cNvPr id="4" name="Building">
              <a:extLst>
                <a:ext uri="{FF2B5EF4-FFF2-40B4-BE49-F238E27FC236}">
                  <a16:creationId xmlns:a16="http://schemas.microsoft.com/office/drawing/2014/main" id="{A165B439-FCB0-EC33-1278-40F7973B5D0B}"/>
                </a:ext>
              </a:extLst>
            </xdr:cNvPr>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8850081" y="821870"/>
              <a:ext cx="2362161" cy="452982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55788</xdr:colOff>
      <xdr:row>3</xdr:row>
      <xdr:rowOff>84364</xdr:rowOff>
    </xdr:from>
    <xdr:to>
      <xdr:col>8</xdr:col>
      <xdr:colOff>57150</xdr:colOff>
      <xdr:row>19</xdr:row>
      <xdr:rowOff>106138</xdr:rowOff>
    </xdr:to>
    <mc:AlternateContent xmlns:mc="http://schemas.openxmlformats.org/markup-compatibility/2006" xmlns:a14="http://schemas.microsoft.com/office/drawing/2010/main">
      <mc:Choice Requires="a14">
        <xdr:graphicFrame macro="">
          <xdr:nvGraphicFramePr>
            <xdr:cNvPr id="6" name="Lookup">
              <a:extLst>
                <a:ext uri="{FF2B5EF4-FFF2-40B4-BE49-F238E27FC236}">
                  <a16:creationId xmlns:a16="http://schemas.microsoft.com/office/drawing/2014/main" id="{B1B89E46-D77F-A56B-F0F7-9565324B5200}"/>
                </a:ext>
              </a:extLst>
            </xdr:cNvPr>
            <xdr:cNvGraphicFramePr/>
          </xdr:nvGraphicFramePr>
          <xdr:xfrm>
            <a:off x="0" y="0"/>
            <a:ext cx="0" cy="0"/>
          </xdr:xfrm>
          <a:graphic>
            <a:graphicData uri="http://schemas.microsoft.com/office/drawing/2010/slicer">
              <sle:slicer xmlns:sle="http://schemas.microsoft.com/office/drawing/2010/slicer" name="Lookup"/>
            </a:graphicData>
          </a:graphic>
        </xdr:graphicFrame>
      </mc:Choice>
      <mc:Fallback xmlns="">
        <xdr:sp macro="" textlink="">
          <xdr:nvSpPr>
            <xdr:cNvPr id="0" name=""/>
            <xdr:cNvSpPr>
              <a:spLocks noTextEdit="1"/>
            </xdr:cNvSpPr>
          </xdr:nvSpPr>
          <xdr:spPr>
            <a:xfrm>
              <a:off x="6618513" y="808264"/>
              <a:ext cx="1973037" cy="258263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130629</xdr:colOff>
      <xdr:row>21</xdr:row>
      <xdr:rowOff>44904</xdr:rowOff>
    </xdr:from>
    <xdr:to>
      <xdr:col>4</xdr:col>
      <xdr:colOff>2620688</xdr:colOff>
      <xdr:row>34</xdr:row>
      <xdr:rowOff>35824</xdr:rowOff>
    </xdr:to>
    <xdr:pic>
      <xdr:nvPicPr>
        <xdr:cNvPr id="2" name="Picture 1">
          <a:extLst>
            <a:ext uri="{FF2B5EF4-FFF2-40B4-BE49-F238E27FC236}">
              <a16:creationId xmlns:a16="http://schemas.microsoft.com/office/drawing/2014/main" id="{ED7CB0F1-CB43-4C8E-A0EA-444D62157DF8}"/>
            </a:ext>
          </a:extLst>
        </xdr:cNvPr>
        <xdr:cNvPicPr>
          <a:picLocks noChangeAspect="1"/>
        </xdr:cNvPicPr>
      </xdr:nvPicPr>
      <xdr:blipFill>
        <a:blip xmlns:r="http://schemas.openxmlformats.org/officeDocument/2006/relationships" r:embed="rId1"/>
        <a:stretch>
          <a:fillRect/>
        </a:stretch>
      </xdr:blipFill>
      <xdr:spPr>
        <a:xfrm>
          <a:off x="130629" y="3845379"/>
          <a:ext cx="6240641" cy="2343595"/>
        </a:xfrm>
        <a:prstGeom prst="rect">
          <a:avLst/>
        </a:prstGeom>
        <a:ln>
          <a:solidFill>
            <a:schemeClr val="accent3"/>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15</xdr:col>
      <xdr:colOff>210501</xdr:colOff>
      <xdr:row>58</xdr:row>
      <xdr:rowOff>11832</xdr:rowOff>
    </xdr:to>
    <xdr:pic>
      <xdr:nvPicPr>
        <xdr:cNvPr id="2" name="Picture 1">
          <a:extLst>
            <a:ext uri="{FF2B5EF4-FFF2-40B4-BE49-F238E27FC236}">
              <a16:creationId xmlns:a16="http://schemas.microsoft.com/office/drawing/2014/main" id="{74D8D42E-1840-5198-C7E2-E1102CCE2C8A}"/>
            </a:ext>
          </a:extLst>
        </xdr:cNvPr>
        <xdr:cNvPicPr>
          <a:picLocks noChangeAspect="1"/>
        </xdr:cNvPicPr>
      </xdr:nvPicPr>
      <xdr:blipFill>
        <a:blip xmlns:r="http://schemas.openxmlformats.org/officeDocument/2006/relationships" r:embed="rId1"/>
        <a:stretch>
          <a:fillRect/>
        </a:stretch>
      </xdr:blipFill>
      <xdr:spPr>
        <a:xfrm>
          <a:off x="97971" y="7591426"/>
          <a:ext cx="16601482" cy="3164613"/>
        </a:xfrm>
        <a:prstGeom prst="rect">
          <a:avLst/>
        </a:prstGeom>
        <a:ln>
          <a:solidFill>
            <a:schemeClr val="accent1"/>
          </a:solidFill>
        </a:ln>
      </xdr:spPr>
    </xdr:pic>
    <xdr:clientData/>
  </xdr:twoCellAnchor>
  <xdr:twoCellAnchor editAs="oneCell">
    <xdr:from>
      <xdr:col>0</xdr:col>
      <xdr:colOff>0</xdr:colOff>
      <xdr:row>22</xdr:row>
      <xdr:rowOff>31296</xdr:rowOff>
    </xdr:from>
    <xdr:to>
      <xdr:col>8</xdr:col>
      <xdr:colOff>521897</xdr:colOff>
      <xdr:row>43</xdr:row>
      <xdr:rowOff>2227</xdr:rowOff>
    </xdr:to>
    <xdr:pic>
      <xdr:nvPicPr>
        <xdr:cNvPr id="3" name="Picture 2">
          <a:extLst>
            <a:ext uri="{FF2B5EF4-FFF2-40B4-BE49-F238E27FC236}">
              <a16:creationId xmlns:a16="http://schemas.microsoft.com/office/drawing/2014/main" id="{198A6BDA-65B3-8B3C-377E-DC542B555A2F}"/>
            </a:ext>
          </a:extLst>
        </xdr:cNvPr>
        <xdr:cNvPicPr>
          <a:picLocks noChangeAspect="1"/>
        </xdr:cNvPicPr>
      </xdr:nvPicPr>
      <xdr:blipFill>
        <a:blip xmlns:r="http://schemas.openxmlformats.org/officeDocument/2006/relationships" r:embed="rId2"/>
        <a:stretch>
          <a:fillRect/>
        </a:stretch>
      </xdr:blipFill>
      <xdr:spPr>
        <a:xfrm>
          <a:off x="0" y="4022271"/>
          <a:ext cx="11770139" cy="3771406"/>
        </a:xfrm>
        <a:prstGeom prst="rect">
          <a:avLst/>
        </a:prstGeom>
        <a:ln>
          <a:solidFill>
            <a:schemeClr val="accent1"/>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14</xdr:col>
      <xdr:colOff>503037</xdr:colOff>
      <xdr:row>58</xdr:row>
      <xdr:rowOff>10469</xdr:rowOff>
    </xdr:to>
    <xdr:pic>
      <xdr:nvPicPr>
        <xdr:cNvPr id="2" name="Picture 1">
          <a:extLst>
            <a:ext uri="{FF2B5EF4-FFF2-40B4-BE49-F238E27FC236}">
              <a16:creationId xmlns:a16="http://schemas.microsoft.com/office/drawing/2014/main" id="{4ADE716A-18E1-476C-ADC2-143E9543733A}"/>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17</xdr:col>
      <xdr:colOff>475040</xdr:colOff>
      <xdr:row>58</xdr:row>
      <xdr:rowOff>10471</xdr:rowOff>
    </xdr:to>
    <xdr:pic>
      <xdr:nvPicPr>
        <xdr:cNvPr id="2" name="Picture 1">
          <a:extLst>
            <a:ext uri="{FF2B5EF4-FFF2-40B4-BE49-F238E27FC236}">
              <a16:creationId xmlns:a16="http://schemas.microsoft.com/office/drawing/2014/main" id="{7E69CEF5-3453-4CBD-BA31-819B334527BF}"/>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74840</xdr:colOff>
      <xdr:row>21</xdr:row>
      <xdr:rowOff>57150</xdr:rowOff>
    </xdr:from>
    <xdr:to>
      <xdr:col>10</xdr:col>
      <xdr:colOff>239279</xdr:colOff>
      <xdr:row>29</xdr:row>
      <xdr:rowOff>64154</xdr:rowOff>
    </xdr:to>
    <xdr:pic>
      <xdr:nvPicPr>
        <xdr:cNvPr id="2" name="Picture 1">
          <a:extLst>
            <a:ext uri="{FF2B5EF4-FFF2-40B4-BE49-F238E27FC236}">
              <a16:creationId xmlns:a16="http://schemas.microsoft.com/office/drawing/2014/main" id="{25FBA080-652F-4393-B91F-375970F376AF}"/>
            </a:ext>
          </a:extLst>
        </xdr:cNvPr>
        <xdr:cNvPicPr>
          <a:picLocks noChangeAspect="1"/>
        </xdr:cNvPicPr>
      </xdr:nvPicPr>
      <xdr:blipFill>
        <a:blip xmlns:r="http://schemas.openxmlformats.org/officeDocument/2006/relationships" r:embed="rId1"/>
        <a:stretch>
          <a:fillRect/>
        </a:stretch>
      </xdr:blipFill>
      <xdr:spPr>
        <a:xfrm>
          <a:off x="74840" y="3857625"/>
          <a:ext cx="12525771" cy="1458885"/>
        </a:xfrm>
        <a:prstGeom prst="rect">
          <a:avLst/>
        </a:prstGeom>
        <a:ln w="19050">
          <a:solidFill>
            <a:schemeClr val="accent3"/>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19050</xdr:colOff>
      <xdr:row>0</xdr:row>
      <xdr:rowOff>76200</xdr:rowOff>
    </xdr:from>
    <xdr:to>
      <xdr:col>17</xdr:col>
      <xdr:colOff>2181</xdr:colOff>
      <xdr:row>9</xdr:row>
      <xdr:rowOff>130862</xdr:rowOff>
    </xdr:to>
    <xdr:pic>
      <xdr:nvPicPr>
        <xdr:cNvPr id="2" name="Picture 1">
          <a:extLst>
            <a:ext uri="{FF2B5EF4-FFF2-40B4-BE49-F238E27FC236}">
              <a16:creationId xmlns:a16="http://schemas.microsoft.com/office/drawing/2014/main" id="{9C7AB038-C839-43D8-91AF-C75413980DC5}"/>
            </a:ext>
          </a:extLst>
        </xdr:cNvPr>
        <xdr:cNvPicPr>
          <a:picLocks noChangeAspect="1"/>
        </xdr:cNvPicPr>
      </xdr:nvPicPr>
      <xdr:blipFill>
        <a:blip xmlns:r="http://schemas.openxmlformats.org/officeDocument/2006/relationships" r:embed="rId1"/>
        <a:stretch>
          <a:fillRect/>
        </a:stretch>
      </xdr:blipFill>
      <xdr:spPr>
        <a:xfrm>
          <a:off x="7534275" y="76200"/>
          <a:ext cx="5898156" cy="1686158"/>
        </a:xfrm>
        <a:prstGeom prst="rect">
          <a:avLst/>
        </a:prstGeom>
        <a:ln>
          <a:solidFill>
            <a:schemeClr val="accent4"/>
          </a:solidFill>
        </a:ln>
      </xdr:spPr>
    </xdr:pic>
    <xdr:clientData/>
  </xdr:twoCellAnchor>
  <xdr:twoCellAnchor editAs="oneCell">
    <xdr:from>
      <xdr:col>8</xdr:col>
      <xdr:colOff>12246</xdr:colOff>
      <xdr:row>10</xdr:row>
      <xdr:rowOff>63954</xdr:rowOff>
    </xdr:from>
    <xdr:to>
      <xdr:col>17</xdr:col>
      <xdr:colOff>0</xdr:colOff>
      <xdr:row>18</xdr:row>
      <xdr:rowOff>132201</xdr:rowOff>
    </xdr:to>
    <xdr:pic>
      <xdr:nvPicPr>
        <xdr:cNvPr id="3" name="Picture 2">
          <a:extLst>
            <a:ext uri="{FF2B5EF4-FFF2-40B4-BE49-F238E27FC236}">
              <a16:creationId xmlns:a16="http://schemas.microsoft.com/office/drawing/2014/main" id="{E9B0B830-1024-8271-4E1B-990345808453}"/>
            </a:ext>
          </a:extLst>
        </xdr:cNvPr>
        <xdr:cNvPicPr>
          <a:picLocks noChangeAspect="1"/>
        </xdr:cNvPicPr>
      </xdr:nvPicPr>
      <xdr:blipFill>
        <a:blip xmlns:r="http://schemas.openxmlformats.org/officeDocument/2006/relationships" r:embed="rId2"/>
        <a:stretch>
          <a:fillRect/>
        </a:stretch>
      </xdr:blipFill>
      <xdr:spPr>
        <a:xfrm>
          <a:off x="7575096" y="1873704"/>
          <a:ext cx="5893254" cy="1516047"/>
        </a:xfrm>
        <a:prstGeom prst="rect">
          <a:avLst/>
        </a:prstGeom>
        <a:ln>
          <a:solidFill>
            <a:schemeClr val="accent1"/>
          </a:solidFill>
        </a:ln>
      </xdr:spPr>
    </xdr:pic>
    <xdr:clientData/>
  </xdr:twoCellAnchor>
  <xdr:twoCellAnchor editAs="oneCell">
    <xdr:from>
      <xdr:col>8</xdr:col>
      <xdr:colOff>0</xdr:colOff>
      <xdr:row>19</xdr:row>
      <xdr:rowOff>63954</xdr:rowOff>
    </xdr:from>
    <xdr:to>
      <xdr:col>17</xdr:col>
      <xdr:colOff>2720</xdr:colOff>
      <xdr:row>28</xdr:row>
      <xdr:rowOff>16550</xdr:rowOff>
    </xdr:to>
    <xdr:pic>
      <xdr:nvPicPr>
        <xdr:cNvPr id="4" name="Picture 3">
          <a:extLst>
            <a:ext uri="{FF2B5EF4-FFF2-40B4-BE49-F238E27FC236}">
              <a16:creationId xmlns:a16="http://schemas.microsoft.com/office/drawing/2014/main" id="{6F6699A3-3CEA-BCCB-050C-2F1599428252}"/>
            </a:ext>
          </a:extLst>
        </xdr:cNvPr>
        <xdr:cNvPicPr>
          <a:picLocks noChangeAspect="1"/>
        </xdr:cNvPicPr>
      </xdr:nvPicPr>
      <xdr:blipFill>
        <a:blip xmlns:r="http://schemas.openxmlformats.org/officeDocument/2006/relationships" r:embed="rId3"/>
        <a:stretch>
          <a:fillRect/>
        </a:stretch>
      </xdr:blipFill>
      <xdr:spPr>
        <a:xfrm>
          <a:off x="7562850" y="3502479"/>
          <a:ext cx="5913663" cy="1581371"/>
        </a:xfrm>
        <a:prstGeom prst="rect">
          <a:avLst/>
        </a:prstGeom>
        <a:ln>
          <a:solidFill>
            <a:schemeClr val="accent1"/>
          </a:solidFill>
        </a:ln>
      </xdr:spPr>
    </xdr:pic>
    <xdr:clientData/>
  </xdr:twoCellAnchor>
  <xdr:twoCellAnchor editAs="oneCell">
    <xdr:from>
      <xdr:col>8</xdr:col>
      <xdr:colOff>0</xdr:colOff>
      <xdr:row>25</xdr:row>
      <xdr:rowOff>0</xdr:rowOff>
    </xdr:from>
    <xdr:to>
      <xdr:col>17</xdr:col>
      <xdr:colOff>10082</xdr:colOff>
      <xdr:row>33</xdr:row>
      <xdr:rowOff>121480</xdr:rowOff>
    </xdr:to>
    <xdr:pic>
      <xdr:nvPicPr>
        <xdr:cNvPr id="5" name="Picture 4">
          <a:extLst>
            <a:ext uri="{FF2B5EF4-FFF2-40B4-BE49-F238E27FC236}">
              <a16:creationId xmlns:a16="http://schemas.microsoft.com/office/drawing/2014/main" id="{FBA14812-E571-3EC9-818B-3AB5887F87FE}"/>
            </a:ext>
          </a:extLst>
        </xdr:cNvPr>
        <xdr:cNvPicPr>
          <a:picLocks noChangeAspect="1"/>
        </xdr:cNvPicPr>
      </xdr:nvPicPr>
      <xdr:blipFill>
        <a:blip xmlns:r="http://schemas.openxmlformats.org/officeDocument/2006/relationships" r:embed="rId4"/>
        <a:stretch>
          <a:fillRect/>
        </a:stretch>
      </xdr:blipFill>
      <xdr:spPr>
        <a:xfrm>
          <a:off x="7538358" y="5272768"/>
          <a:ext cx="5885663" cy="1582887"/>
        </a:xfrm>
        <a:prstGeom prst="rect">
          <a:avLst/>
        </a:prstGeom>
        <a:ln>
          <a:solidFill>
            <a:schemeClr val="accent1"/>
          </a:solidFill>
        </a:ln>
      </xdr:spPr>
    </xdr:pic>
    <xdr:clientData/>
  </xdr:twoCellAnchor>
  <xdr:twoCellAnchor editAs="oneCell">
    <xdr:from>
      <xdr:col>8</xdr:col>
      <xdr:colOff>25854</xdr:colOff>
      <xdr:row>34</xdr:row>
      <xdr:rowOff>0</xdr:rowOff>
    </xdr:from>
    <xdr:to>
      <xdr:col>17</xdr:col>
      <xdr:colOff>0</xdr:colOff>
      <xdr:row>42</xdr:row>
      <xdr:rowOff>97088</xdr:rowOff>
    </xdr:to>
    <xdr:pic>
      <xdr:nvPicPr>
        <xdr:cNvPr id="6" name="Picture 5">
          <a:extLst>
            <a:ext uri="{FF2B5EF4-FFF2-40B4-BE49-F238E27FC236}">
              <a16:creationId xmlns:a16="http://schemas.microsoft.com/office/drawing/2014/main" id="{05A2EBEE-30E4-A752-DB76-EA45334CDA63}"/>
            </a:ext>
          </a:extLst>
        </xdr:cNvPr>
        <xdr:cNvPicPr>
          <a:picLocks noChangeAspect="1"/>
        </xdr:cNvPicPr>
      </xdr:nvPicPr>
      <xdr:blipFill>
        <a:blip xmlns:r="http://schemas.openxmlformats.org/officeDocument/2006/relationships" r:embed="rId5"/>
        <a:stretch>
          <a:fillRect/>
        </a:stretch>
      </xdr:blipFill>
      <xdr:spPr>
        <a:xfrm>
          <a:off x="7588704" y="6877050"/>
          <a:ext cx="5889171" cy="1547609"/>
        </a:xfrm>
        <a:prstGeom prst="rect">
          <a:avLst/>
        </a:prstGeom>
        <a:ln>
          <a:solidFill>
            <a:schemeClr val="accent1"/>
          </a:solidFill>
        </a:ln>
      </xdr:spPr>
    </xdr:pic>
    <xdr:clientData/>
  </xdr:twoCellAnchor>
  <xdr:twoCellAnchor editAs="oneCell">
    <xdr:from>
      <xdr:col>8</xdr:col>
      <xdr:colOff>25854</xdr:colOff>
      <xdr:row>43</xdr:row>
      <xdr:rowOff>38100</xdr:rowOff>
    </xdr:from>
    <xdr:to>
      <xdr:col>17</xdr:col>
      <xdr:colOff>0</xdr:colOff>
      <xdr:row>51</xdr:row>
      <xdr:rowOff>121307</xdr:rowOff>
    </xdr:to>
    <xdr:pic>
      <xdr:nvPicPr>
        <xdr:cNvPr id="7" name="Picture 6">
          <a:extLst>
            <a:ext uri="{FF2B5EF4-FFF2-40B4-BE49-F238E27FC236}">
              <a16:creationId xmlns:a16="http://schemas.microsoft.com/office/drawing/2014/main" id="{D428C7DB-29B5-6E86-F3B2-AB7B59B1DB9C}"/>
            </a:ext>
          </a:extLst>
        </xdr:cNvPr>
        <xdr:cNvPicPr>
          <a:picLocks noChangeAspect="1"/>
        </xdr:cNvPicPr>
      </xdr:nvPicPr>
      <xdr:blipFill>
        <a:blip xmlns:r="http://schemas.openxmlformats.org/officeDocument/2006/relationships" r:embed="rId6"/>
        <a:stretch>
          <a:fillRect/>
        </a:stretch>
      </xdr:blipFill>
      <xdr:spPr>
        <a:xfrm>
          <a:off x="7588704" y="8543925"/>
          <a:ext cx="5889171" cy="1532377"/>
        </a:xfrm>
        <a:prstGeom prst="rect">
          <a:avLst/>
        </a:prstGeom>
        <a:ln>
          <a:solidFill>
            <a:schemeClr val="accent1"/>
          </a:solidFill>
        </a:ln>
      </xdr:spPr>
    </xdr:pic>
    <xdr:clientData/>
  </xdr:twoCellAnchor>
  <xdr:twoCellAnchor editAs="oneCell">
    <xdr:from>
      <xdr:col>8</xdr:col>
      <xdr:colOff>9525</xdr:colOff>
      <xdr:row>52</xdr:row>
      <xdr:rowOff>66675</xdr:rowOff>
    </xdr:from>
    <xdr:to>
      <xdr:col>16</xdr:col>
      <xdr:colOff>583738</xdr:colOff>
      <xdr:row>60</xdr:row>
      <xdr:rowOff>45105</xdr:rowOff>
    </xdr:to>
    <xdr:pic>
      <xdr:nvPicPr>
        <xdr:cNvPr id="8" name="Picture 7">
          <a:extLst>
            <a:ext uri="{FF2B5EF4-FFF2-40B4-BE49-F238E27FC236}">
              <a16:creationId xmlns:a16="http://schemas.microsoft.com/office/drawing/2014/main" id="{CBAC6D82-40FE-3D13-8B48-579544EA9BF3}"/>
            </a:ext>
          </a:extLst>
        </xdr:cNvPr>
        <xdr:cNvPicPr>
          <a:picLocks noChangeAspect="1"/>
        </xdr:cNvPicPr>
      </xdr:nvPicPr>
      <xdr:blipFill rotWithShape="1">
        <a:blip xmlns:r="http://schemas.openxmlformats.org/officeDocument/2006/relationships" r:embed="rId7"/>
        <a:srcRect r="5779"/>
        <a:stretch/>
      </xdr:blipFill>
      <xdr:spPr>
        <a:xfrm>
          <a:off x="7077075" y="10734675"/>
          <a:ext cx="5448300" cy="1505160"/>
        </a:xfrm>
        <a:prstGeom prst="rect">
          <a:avLst/>
        </a:prstGeom>
        <a:ln>
          <a:solidFill>
            <a:schemeClr val="accent1"/>
          </a:solidFill>
        </a:ln>
      </xdr:spPr>
    </xdr:pic>
    <xdr:clientData/>
  </xdr:twoCellAnchor>
  <xdr:twoCellAnchor editAs="oneCell">
    <xdr:from>
      <xdr:col>7</xdr:col>
      <xdr:colOff>647700</xdr:colOff>
      <xdr:row>60</xdr:row>
      <xdr:rowOff>152400</xdr:rowOff>
    </xdr:from>
    <xdr:to>
      <xdr:col>16</xdr:col>
      <xdr:colOff>608240</xdr:colOff>
      <xdr:row>69</xdr:row>
      <xdr:rowOff>97193</xdr:rowOff>
    </xdr:to>
    <xdr:pic>
      <xdr:nvPicPr>
        <xdr:cNvPr id="9" name="Picture 8">
          <a:extLst>
            <a:ext uri="{FF2B5EF4-FFF2-40B4-BE49-F238E27FC236}">
              <a16:creationId xmlns:a16="http://schemas.microsoft.com/office/drawing/2014/main" id="{908AD47D-A9DF-9586-3CC6-676A17B152A4}"/>
            </a:ext>
          </a:extLst>
        </xdr:cNvPr>
        <xdr:cNvPicPr>
          <a:picLocks noChangeAspect="1"/>
        </xdr:cNvPicPr>
      </xdr:nvPicPr>
      <xdr:blipFill>
        <a:blip xmlns:r="http://schemas.openxmlformats.org/officeDocument/2006/relationships" r:embed="rId8"/>
        <a:stretch>
          <a:fillRect/>
        </a:stretch>
      </xdr:blipFill>
      <xdr:spPr>
        <a:xfrm>
          <a:off x="7553325" y="11734800"/>
          <a:ext cx="5905500" cy="1568126"/>
        </a:xfrm>
        <a:prstGeom prst="rect">
          <a:avLst/>
        </a:prstGeom>
        <a:ln>
          <a:solidFill>
            <a:schemeClr val="accent1"/>
          </a:solidFill>
        </a:ln>
      </xdr:spPr>
    </xdr:pic>
    <xdr:clientData/>
  </xdr:twoCellAnchor>
  <xdr:twoCellAnchor editAs="oneCell">
    <xdr:from>
      <xdr:col>8</xdr:col>
      <xdr:colOff>47625</xdr:colOff>
      <xdr:row>70</xdr:row>
      <xdr:rowOff>47625</xdr:rowOff>
    </xdr:from>
    <xdr:to>
      <xdr:col>16</xdr:col>
      <xdr:colOff>598166</xdr:colOff>
      <xdr:row>79</xdr:row>
      <xdr:rowOff>11107</xdr:rowOff>
    </xdr:to>
    <xdr:pic>
      <xdr:nvPicPr>
        <xdr:cNvPr id="10" name="Picture 9">
          <a:extLst>
            <a:ext uri="{FF2B5EF4-FFF2-40B4-BE49-F238E27FC236}">
              <a16:creationId xmlns:a16="http://schemas.microsoft.com/office/drawing/2014/main" id="{B4198AD9-D8E6-60BA-7AD2-A1124317D775}"/>
            </a:ext>
          </a:extLst>
        </xdr:cNvPr>
        <xdr:cNvPicPr>
          <a:picLocks noChangeAspect="1"/>
        </xdr:cNvPicPr>
      </xdr:nvPicPr>
      <xdr:blipFill>
        <a:blip xmlns:r="http://schemas.openxmlformats.org/officeDocument/2006/relationships" r:embed="rId9"/>
        <a:stretch>
          <a:fillRect/>
        </a:stretch>
      </xdr:blipFill>
      <xdr:spPr>
        <a:xfrm>
          <a:off x="6181725" y="13439775"/>
          <a:ext cx="5808340" cy="1592258"/>
        </a:xfrm>
        <a:prstGeom prst="rect">
          <a:avLst/>
        </a:prstGeom>
        <a:ln>
          <a:solidFill>
            <a:schemeClr val="accent1"/>
          </a:solidFill>
        </a:ln>
      </xdr:spPr>
    </xdr:pic>
    <xdr:clientData/>
  </xdr:twoCellAnchor>
  <xdr:twoCellAnchor editAs="oneCell">
    <xdr:from>
      <xdr:col>8</xdr:col>
      <xdr:colOff>57150</xdr:colOff>
      <xdr:row>79</xdr:row>
      <xdr:rowOff>133350</xdr:rowOff>
    </xdr:from>
    <xdr:to>
      <xdr:col>16</xdr:col>
      <xdr:colOff>591358</xdr:colOff>
      <xdr:row>88</xdr:row>
      <xdr:rowOff>36953</xdr:rowOff>
    </xdr:to>
    <xdr:pic>
      <xdr:nvPicPr>
        <xdr:cNvPr id="11" name="Picture 10">
          <a:extLst>
            <a:ext uri="{FF2B5EF4-FFF2-40B4-BE49-F238E27FC236}">
              <a16:creationId xmlns:a16="http://schemas.microsoft.com/office/drawing/2014/main" id="{28E9303E-D850-120B-B991-E45407188014}"/>
            </a:ext>
          </a:extLst>
        </xdr:cNvPr>
        <xdr:cNvPicPr>
          <a:picLocks noChangeAspect="1"/>
        </xdr:cNvPicPr>
      </xdr:nvPicPr>
      <xdr:blipFill>
        <a:blip xmlns:r="http://schemas.openxmlformats.org/officeDocument/2006/relationships" r:embed="rId10"/>
        <a:stretch>
          <a:fillRect/>
        </a:stretch>
      </xdr:blipFill>
      <xdr:spPr>
        <a:xfrm>
          <a:off x="6191250" y="15154275"/>
          <a:ext cx="5792008" cy="1532378"/>
        </a:xfrm>
        <a:prstGeom prst="rect">
          <a:avLst/>
        </a:prstGeom>
        <a:ln>
          <a:solidFill>
            <a:schemeClr val="accent1"/>
          </a:solidFill>
        </a:ln>
      </xdr:spPr>
    </xdr:pic>
    <xdr:clientData/>
  </xdr:twoCellAnchor>
  <xdr:twoCellAnchor editAs="oneCell">
    <xdr:from>
      <xdr:col>8</xdr:col>
      <xdr:colOff>66675</xdr:colOff>
      <xdr:row>88</xdr:row>
      <xdr:rowOff>161925</xdr:rowOff>
    </xdr:from>
    <xdr:to>
      <xdr:col>16</xdr:col>
      <xdr:colOff>570943</xdr:colOff>
      <xdr:row>97</xdr:row>
      <xdr:rowOff>35589</xdr:rowOff>
    </xdr:to>
    <xdr:pic>
      <xdr:nvPicPr>
        <xdr:cNvPr id="12" name="Picture 11">
          <a:extLst>
            <a:ext uri="{FF2B5EF4-FFF2-40B4-BE49-F238E27FC236}">
              <a16:creationId xmlns:a16="http://schemas.microsoft.com/office/drawing/2014/main" id="{257C027B-B0E9-C2BB-DE53-3945D26BE80B}"/>
            </a:ext>
          </a:extLst>
        </xdr:cNvPr>
        <xdr:cNvPicPr>
          <a:picLocks noChangeAspect="1"/>
        </xdr:cNvPicPr>
      </xdr:nvPicPr>
      <xdr:blipFill>
        <a:blip xmlns:r="http://schemas.openxmlformats.org/officeDocument/2006/relationships" r:embed="rId11"/>
        <a:stretch>
          <a:fillRect/>
        </a:stretch>
      </xdr:blipFill>
      <xdr:spPr>
        <a:xfrm>
          <a:off x="6200775" y="16811625"/>
          <a:ext cx="5762068" cy="1502439"/>
        </a:xfrm>
        <a:prstGeom prst="rect">
          <a:avLst/>
        </a:prstGeom>
        <a:ln>
          <a:solidFill>
            <a:schemeClr val="accent1"/>
          </a:solidFill>
        </a:ln>
      </xdr:spPr>
    </xdr:pic>
    <xdr:clientData/>
  </xdr:twoCellAnchor>
  <xdr:twoCellAnchor editAs="oneCell">
    <xdr:from>
      <xdr:col>8</xdr:col>
      <xdr:colOff>15553</xdr:colOff>
      <xdr:row>98</xdr:row>
      <xdr:rowOff>23724</xdr:rowOff>
    </xdr:from>
    <xdr:to>
      <xdr:col>17</xdr:col>
      <xdr:colOff>6999</xdr:colOff>
      <xdr:row>106</xdr:row>
      <xdr:rowOff>45031</xdr:rowOff>
    </xdr:to>
    <xdr:pic>
      <xdr:nvPicPr>
        <xdr:cNvPr id="13" name="Picture 12">
          <a:extLst>
            <a:ext uri="{FF2B5EF4-FFF2-40B4-BE49-F238E27FC236}">
              <a16:creationId xmlns:a16="http://schemas.microsoft.com/office/drawing/2014/main" id="{35A1C739-0A30-0283-0F53-559BC332F20C}"/>
            </a:ext>
          </a:extLst>
        </xdr:cNvPr>
        <xdr:cNvPicPr>
          <a:picLocks noChangeAspect="1"/>
        </xdr:cNvPicPr>
      </xdr:nvPicPr>
      <xdr:blipFill>
        <a:blip xmlns:r="http://schemas.openxmlformats.org/officeDocument/2006/relationships" r:embed="rId12"/>
        <a:stretch>
          <a:fillRect/>
        </a:stretch>
      </xdr:blipFill>
      <xdr:spPr>
        <a:xfrm>
          <a:off x="6150430" y="19058173"/>
          <a:ext cx="5831632" cy="1515566"/>
        </a:xfrm>
        <a:prstGeom prst="rect">
          <a:avLst/>
        </a:prstGeom>
        <a:ln>
          <a:solidFill>
            <a:schemeClr val="accent1"/>
          </a:solidFill>
        </a:ln>
      </xdr:spPr>
    </xdr:pic>
    <xdr:clientData/>
  </xdr:twoCellAnchor>
  <xdr:twoCellAnchor editAs="oneCell">
    <xdr:from>
      <xdr:col>8</xdr:col>
      <xdr:colOff>19050</xdr:colOff>
      <xdr:row>106</xdr:row>
      <xdr:rowOff>152400</xdr:rowOff>
    </xdr:from>
    <xdr:to>
      <xdr:col>17</xdr:col>
      <xdr:colOff>8164</xdr:colOff>
      <xdr:row>115</xdr:row>
      <xdr:rowOff>38323</xdr:rowOff>
    </xdr:to>
    <xdr:pic>
      <xdr:nvPicPr>
        <xdr:cNvPr id="14" name="Picture 13">
          <a:extLst>
            <a:ext uri="{FF2B5EF4-FFF2-40B4-BE49-F238E27FC236}">
              <a16:creationId xmlns:a16="http://schemas.microsoft.com/office/drawing/2014/main" id="{BEDB6BAC-54A6-E6CF-3A7F-8E4B94EA4E9B}"/>
            </a:ext>
          </a:extLst>
        </xdr:cNvPr>
        <xdr:cNvPicPr>
          <a:picLocks noChangeAspect="1"/>
        </xdr:cNvPicPr>
      </xdr:nvPicPr>
      <xdr:blipFill>
        <a:blip xmlns:r="http://schemas.openxmlformats.org/officeDocument/2006/relationships" r:embed="rId13"/>
        <a:stretch>
          <a:fillRect/>
        </a:stretch>
      </xdr:blipFill>
      <xdr:spPr>
        <a:xfrm>
          <a:off x="5838825" y="20345400"/>
          <a:ext cx="5476875" cy="1600423"/>
        </a:xfrm>
        <a:prstGeom prst="rect">
          <a:avLst/>
        </a:prstGeom>
        <a:ln>
          <a:solidFill>
            <a:schemeClr val="accent1"/>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Crowhurst, Stacey" id="{25485ED3-42D9-422C-9A77-5F76F434CCD0}" userId="S::stacey.crowhurst@vanderbilt.edu::9bff91b9-a036-4fd8-91c7-d442dc172f21"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5175.559365162037" createdVersion="8" refreshedVersion="8" minRefreshableVersion="3" recordCount="37" xr:uid="{E093EE8F-E60A-4C7B-B6A8-5909396D9E30}">
  <cacheSource type="worksheet">
    <worksheetSource ref="B3:V40" sheet="Project Status"/>
  </cacheSource>
  <cacheFields count="21">
    <cacheField name="Capex / Opex" numFmtId="0">
      <sharedItems count="3">
        <s v="Operating"/>
        <s v="Capital"/>
        <s v="TBD"/>
      </sharedItems>
    </cacheField>
    <cacheField name="eBuilder" numFmtId="0">
      <sharedItems containsSemiMixedTypes="0" containsString="0" containsNumber="1" containsInteger="1" minValue="10085" maxValue="20834" count="37">
        <n v="10085"/>
        <n v="10098"/>
        <n v="10146"/>
        <n v="20179"/>
        <n v="20336"/>
        <n v="20431"/>
        <n v="20478"/>
        <n v="20489"/>
        <n v="20497"/>
        <n v="20506"/>
        <n v="20562"/>
        <n v="20563"/>
        <n v="20566"/>
        <n v="20573"/>
        <n v="20574"/>
        <n v="20577"/>
        <n v="20644"/>
        <n v="20645"/>
        <n v="20667"/>
        <n v="20668"/>
        <n v="20698"/>
        <n v="20700"/>
        <n v="20701"/>
        <n v="20702"/>
        <n v="20718"/>
        <n v="20723"/>
        <n v="20724"/>
        <n v="20735"/>
        <n v="20767"/>
        <n v="20771"/>
        <n v="20772"/>
        <n v="20792"/>
        <n v="20811"/>
        <n v="20831"/>
        <n v="20832"/>
        <n v="20833"/>
        <n v="20834"/>
      </sharedItems>
    </cacheField>
    <cacheField name="AiM" numFmtId="0">
      <sharedItems containsString="0" containsBlank="1" containsNumber="1" containsInteger="1" minValue="529" maxValue="36015"/>
    </cacheField>
    <cacheField name="Oracle" numFmtId="0">
      <sharedItems containsBlank="1"/>
    </cacheField>
    <cacheField name="School" numFmtId="0">
      <sharedItems count="9">
        <s v="21000 - Peabody College: Office of the Dean"/>
        <s v="18200 - Basic Sciences: Office of the Dean"/>
        <s v="19100 - Nursing: Business Affairs"/>
        <s v="17100 - Law: Business Affairs"/>
        <s v="13000 - Blair: Office of the Dean"/>
        <s v="14000 - Divinity: Office of the Dean"/>
        <s v="12000 - Arts and Science: Office of the Dean"/>
        <s v="15000 - Engineering: Office of the Dean"/>
        <s v="20000 - Owen: Office of the Dean"/>
      </sharedItems>
    </cacheField>
    <cacheField name="Lookup" numFmtId="0">
      <sharedItems count="9">
        <s v="Peabody"/>
        <s v="SOM Basic Sciences"/>
        <s v="Nursing"/>
        <s v="Law"/>
        <s v="Blair"/>
        <s v="Divinity"/>
        <s v="Arts &amp; Science"/>
        <s v="Engineering"/>
        <s v="Owen"/>
      </sharedItems>
    </cacheField>
    <cacheField name="Building" numFmtId="0">
      <sharedItems count="20">
        <s v="One Magnolia Circle"/>
        <s v="MRB III BIO/SCI"/>
        <s v="Godchaux Hall"/>
        <s v="Law School"/>
        <s v="BLAIR SCHOOL OF MUSIC"/>
        <s v="DIVINITY"/>
        <s v="BRYAN BLDG"/>
        <s v="JESUP PSYCHOLOGY"/>
        <s v="WYATT CENTER"/>
        <s v="KECK FREE ELECTRON LASER CTR"/>
        <s v="SC CHEMISTRY"/>
        <s v="PEABODY ADMINISTRATION"/>
        <s v="BENSON OLD CENTRAL"/>
        <s v="1025 16TH AVE S"/>
        <s v="WILSON HALL"/>
        <s v="SC SCIENCE &amp; ENGINEERING"/>
        <s v="BUTTRICK HALL"/>
        <s v="OWEN GRAD MGMT"/>
        <s v="SIX MAGNOLIA CIRCLE"/>
        <s v="SC PHYSICS &amp; ASTRONOMY"/>
      </sharedItems>
    </cacheField>
    <cacheField name="Project" numFmtId="0">
      <sharedItems count="37">
        <s v="One Magnolia Circle - Modify/Upgrade Electrical and Grounding"/>
        <s v="MRB III - 4th Floor - Replace Controls (Phase 2)"/>
        <s v="Godchaux Hall - HVAC Upgrade"/>
        <s v="Law School - Fire Alarm System Replacement"/>
        <s v="Blair School of Music - Elevator #3 Modernization"/>
        <s v="Divinity - AHU 5N (5 &amp; 6) Replacement"/>
        <s v="Bryan Building - Swing Space Renovation - A&amp;S Planning"/>
        <s v="Divinity - AHU 1N (1&amp;3) Replacement with Benton"/>
        <s v="Jesup - Roof Replacement"/>
        <s v="Wyatt Center - Window Replacement"/>
        <s v="Wyatt Center - VAV Replacement"/>
        <s v="Keck FEL - Roof Replacement"/>
        <s v="SC Chemistry (SC7) - Elevator 1 &amp; 2 Modernization"/>
        <s v="Wyatt Center - Roof Replacement"/>
        <s v="MRB III - Steam Coil Replacement"/>
        <s v="Blair School of Music - Air Handling Unit Replacement"/>
        <s v="Peabody Administration - Envelope Repairs"/>
        <s v="Benson Old Central - Replace Soffit and Doors"/>
        <s v="1025 16th Avenue - Mechanical and Electrical Upgrades"/>
        <s v="Keck FEL - Mechanical Upgrades"/>
        <s v="Wilson Hall - Fire Alarm Replacement"/>
        <s v="SC7 Chemistry - SG-1 Removal and Connection to Central Plant Steam"/>
        <s v="SC5 - Chemical Discharge Replacement"/>
        <s v="Wyatt Center - Elevator #2 Modernization"/>
        <s v="Buttrick Hall - 3rd Floor Inequality Renovations"/>
        <s v="MRB III - 9th Floor (with 4 ,5 &amp; 8) - Replace Controls (Phase 3)"/>
        <s v="Blair School of Music - Steam Line"/>
        <s v="Owen - Roof Replacement (Third Level)"/>
        <s v="Six Magnolia Circle - Foundation Repairs"/>
        <s v="SC4 - Interstitial Space HVAC Modifications"/>
        <s v="Owen - Roof Replacement (Slate Portion)"/>
        <s v="Law School - Sections 1, 2, &amp; 3  Roof Replacement"/>
        <s v="One Magnolia Circle - Retaining Wall Repair"/>
        <s v="SC6 - HVAC Upgrades - Feasibility Study"/>
        <s v="Wilson Hall - HVAC Replacement"/>
        <s v="SC5 - HVAC Replacement"/>
        <s v="Wyatt Center - HVAC Upgrades - Engineering Study"/>
      </sharedItems>
    </cacheField>
    <cacheField name="Phase" numFmtId="0">
      <sharedItems count="7">
        <s v="Finalized"/>
        <s v="Financial Closeout"/>
        <s v="Design"/>
        <s v="Warranty or Construction Closeout"/>
        <s v="Construction"/>
        <s v="Not Started"/>
        <s v="Programming or Planning"/>
      </sharedItems>
    </cacheField>
    <cacheField name="Manager" numFmtId="0">
      <sharedItems/>
    </cacheField>
    <cacheField name="Estimated total budget" numFmtId="164">
      <sharedItems containsString="0" containsBlank="1" containsNumber="1" minValue="17500" maxValue="4650000"/>
    </cacheField>
    <cacheField name="Approved budget" numFmtId="164">
      <sharedItems containsSemiMixedTypes="0" containsString="0" containsNumber="1" minValue="0" maxValue="2790000"/>
    </cacheField>
    <cacheField name="Approved commitments" numFmtId="164">
      <sharedItems containsSemiMixedTypes="0" containsString="0" containsNumber="1" minValue="0" maxValue="1869346.53"/>
    </cacheField>
    <cacheField name="Projected commitments" numFmtId="164">
      <sharedItems containsSemiMixedTypes="0" containsString="0" containsNumber="1" minValue="0" maxValue="1870106.53"/>
    </cacheField>
    <cacheField name="Invoices Approved" numFmtId="164">
      <sharedItems containsSemiMixedTypes="0" containsString="0" containsNumber="1" minValue="0" maxValue="1352423.14"/>
    </cacheField>
    <cacheField name="FY23 FRP Cash Transferred" numFmtId="164">
      <sharedItems containsSemiMixedTypes="0" containsString="0" containsNumber="1" minValue="0" maxValue="1232681"/>
    </cacheField>
    <cacheField name="FY24 FRP Transferred" numFmtId="164">
      <sharedItems containsSemiMixedTypes="0" containsString="0" containsNumber="1" containsInteger="1" minValue="0" maxValue="1028900"/>
    </cacheField>
    <cacheField name="FY24 FRP Estimated" numFmtId="164">
      <sharedItems containsMixedTypes="1" containsNumber="1" minValue="0" maxValue="3730137.5"/>
    </cacheField>
    <cacheField name="FY24 FRP Total Contribution" numFmtId="164">
      <sharedItems containsSemiMixedTypes="0" containsString="0" containsNumber="1" minValue="0" maxValue="3730137.5"/>
    </cacheField>
    <cacheField name="FY25 FRP Estimated" numFmtId="164">
      <sharedItems containsMixedTypes="1" containsNumber="1" containsInteger="1" minValue="0" maxValue="0"/>
    </cacheField>
    <cacheField name="Project status update" numFmtId="0">
      <sharedItems longText="1"/>
    </cacheField>
  </cacheFields>
  <extLst>
    <ext xmlns:x14="http://schemas.microsoft.com/office/spreadsheetml/2009/9/main" uri="{725AE2AE-9491-48be-B2B4-4EB974FC3084}">
      <x14:pivotCacheDefinition pivotCacheId="12422119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
  <r>
    <x v="0"/>
    <x v="0"/>
    <n v="4591"/>
    <m/>
    <x v="0"/>
    <x v="0"/>
    <x v="0"/>
    <x v="0"/>
    <x v="0"/>
    <s v="Sean Rewers"/>
    <n v="17500"/>
    <n v="22000"/>
    <n v="17500"/>
    <n v="17500"/>
    <n v="17500"/>
    <n v="17500"/>
    <n v="0"/>
    <n v="0"/>
    <n v="0"/>
    <n v="0"/>
    <s v="03/22/2023 Project is in closeout."/>
  </r>
  <r>
    <x v="1"/>
    <x v="1"/>
    <n v="1627"/>
    <s v="CP_400023"/>
    <x v="1"/>
    <x v="1"/>
    <x v="1"/>
    <x v="1"/>
    <x v="1"/>
    <s v="Hans Mooy"/>
    <n v="1216485.5"/>
    <n v="1216485.5"/>
    <n v="1212059.54"/>
    <n v="1212059.54"/>
    <n v="1212059.54"/>
    <n v="1216485.5"/>
    <n v="0"/>
    <n v="0"/>
    <n v="0"/>
    <n v="0"/>
    <s v="08/22/2023 project complete"/>
  </r>
  <r>
    <x v="1"/>
    <x v="2"/>
    <n v="4418"/>
    <s v="CP_400025"/>
    <x v="2"/>
    <x v="2"/>
    <x v="2"/>
    <x v="2"/>
    <x v="2"/>
    <s v="Sean Rewers"/>
    <m/>
    <n v="62100"/>
    <n v="62100"/>
    <n v="62100"/>
    <n v="62100"/>
    <n v="4900"/>
    <n v="0"/>
    <s v="TBD"/>
    <n v="0"/>
    <s v="TBD"/>
    <s v="08/29/2023 Po has been started for SSR to complete phase 1 drawings and sign on as commissioning agent. We will put this out to bid after receiving drawings back"/>
  </r>
  <r>
    <x v="1"/>
    <x v="3"/>
    <n v="36015"/>
    <s v="CP_400024"/>
    <x v="3"/>
    <x v="3"/>
    <x v="3"/>
    <x v="3"/>
    <x v="3"/>
    <s v="Bob Grummon"/>
    <n v="1445389"/>
    <n v="1445389"/>
    <n v="1352423.14"/>
    <n v="1352423.14"/>
    <n v="1352423.14"/>
    <n v="722694.5"/>
    <n v="0"/>
    <n v="0"/>
    <n v="0"/>
    <n v="0"/>
    <s v="08/27/2023 work complete"/>
  </r>
  <r>
    <x v="1"/>
    <x v="4"/>
    <n v="20075"/>
    <s v="CP_400056"/>
    <x v="4"/>
    <x v="4"/>
    <x v="4"/>
    <x v="4"/>
    <x v="3"/>
    <s v="Ben Bedock"/>
    <n v="327890"/>
    <n v="327890"/>
    <n v="280600"/>
    <n v="280600"/>
    <n v="274975"/>
    <n v="327890"/>
    <n v="0"/>
    <n v="0"/>
    <n v="0"/>
    <n v="0"/>
    <s v="08/22/2023 Construction is complete.  Working on punch list items."/>
  </r>
  <r>
    <x v="1"/>
    <x v="5"/>
    <n v="8084"/>
    <s v="CP_400108"/>
    <x v="5"/>
    <x v="5"/>
    <x v="5"/>
    <x v="5"/>
    <x v="4"/>
    <s v="Hans Mooy"/>
    <n v="3800000"/>
    <n v="139640"/>
    <n v="126225"/>
    <n v="126225"/>
    <n v="100186.22"/>
    <n v="69862.5"/>
    <n v="0"/>
    <n v="3730137.5"/>
    <n v="3730137.5"/>
    <n v="0"/>
    <s v="08/22/2023 Staff move out Thanksgiving 2023. Project estimated start December 2023."/>
  </r>
  <r>
    <x v="1"/>
    <x v="6"/>
    <n v="8672"/>
    <s v="CP_400182"/>
    <x v="6"/>
    <x v="6"/>
    <x v="6"/>
    <x v="6"/>
    <x v="4"/>
    <s v="Cathy Bartlett"/>
    <n v="2900000"/>
    <n v="2790000"/>
    <n v="1869346.53"/>
    <n v="1870106.53"/>
    <n v="416873.11"/>
    <n v="81100"/>
    <n v="1028900"/>
    <n v="0"/>
    <n v="1028900"/>
    <n v="0"/>
    <s v="08/22/2023 The interior fitout was completed on August 14th and A&amp;S is actively moving into the building. DPR is addressing items on the punchlist.   Mechanical units and partial roof replacement are scheduled to be done in December 2023 and January 2024."/>
  </r>
  <r>
    <x v="1"/>
    <x v="7"/>
    <n v="8051"/>
    <s v="CP_400183"/>
    <x v="5"/>
    <x v="5"/>
    <x v="5"/>
    <x v="7"/>
    <x v="2"/>
    <s v="Hans Mooy"/>
    <n v="4650000"/>
    <n v="26500"/>
    <n v="15895"/>
    <n v="15895"/>
    <n v="12712.5"/>
    <n v="26500"/>
    <n v="0"/>
    <n v="0"/>
    <n v="0"/>
    <s v="TBD"/>
    <s v="08/22/2023 Project budget updated with completion of CD's. Construction to wait until FY 25 to start..."/>
  </r>
  <r>
    <x v="1"/>
    <x v="8"/>
    <n v="529"/>
    <s v="CP_400127"/>
    <x v="0"/>
    <x v="0"/>
    <x v="7"/>
    <x v="8"/>
    <x v="3"/>
    <s v="Ben Bedock"/>
    <n v="456850"/>
    <n v="456850"/>
    <n v="412000"/>
    <n v="412000"/>
    <n v="412000"/>
    <n v="79415.5"/>
    <n v="0"/>
    <n v="0"/>
    <n v="0"/>
    <n v="0"/>
    <s v="08/22/2023 Construction complete"/>
  </r>
  <r>
    <x v="1"/>
    <x v="9"/>
    <n v="1170"/>
    <s v="CP_400192"/>
    <x v="0"/>
    <x v="0"/>
    <x v="8"/>
    <x v="9"/>
    <x v="3"/>
    <s v="Ben Bedock"/>
    <n v="344155.26"/>
    <n v="344155.26"/>
    <n v="307776.26"/>
    <n v="307776.26"/>
    <n v="307776.26"/>
    <n v="344155.26"/>
    <n v="0"/>
    <n v="0"/>
    <n v="0"/>
    <n v="0"/>
    <s v="08/22/2023 Construction complete"/>
  </r>
  <r>
    <x v="1"/>
    <x v="10"/>
    <n v="4564"/>
    <s v="CP_400175"/>
    <x v="0"/>
    <x v="0"/>
    <x v="8"/>
    <x v="10"/>
    <x v="4"/>
    <s v="Sean Rewers"/>
    <n v="400000"/>
    <n v="405791"/>
    <n v="362559.64"/>
    <n v="362559.64"/>
    <n v="362559.64"/>
    <n v="405791"/>
    <n v="0"/>
    <n v="0"/>
    <n v="0"/>
    <n v="0"/>
    <s v="08/22/2023 Still awaiting 1 filter rack to install on AHU. We will be balancing and changing set points on VAVs hopefully this week."/>
  </r>
  <r>
    <x v="2"/>
    <x v="11"/>
    <n v="4624"/>
    <m/>
    <x v="7"/>
    <x v="7"/>
    <x v="9"/>
    <x v="11"/>
    <x v="5"/>
    <s v="Ben Bedock"/>
    <n v="386000"/>
    <n v="0"/>
    <n v="0"/>
    <n v="0"/>
    <n v="0"/>
    <n v="0"/>
    <n v="0"/>
    <n v="0"/>
    <n v="0"/>
    <s v="TBD"/>
    <s v="03/24/2023 Working with appropriate parties to determine scope of work."/>
  </r>
  <r>
    <x v="1"/>
    <x v="12"/>
    <n v="20054"/>
    <s v="CP_400151"/>
    <x v="6"/>
    <x v="6"/>
    <x v="10"/>
    <x v="12"/>
    <x v="3"/>
    <s v="Ben Bedock"/>
    <n v="781870"/>
    <n v="781870"/>
    <n v="722586.68"/>
    <n v="722586.68"/>
    <n v="670650.68000000005"/>
    <n v="781870"/>
    <n v="0"/>
    <n v="0"/>
    <n v="0"/>
    <n v="0"/>
    <s v="08/22/2023 Punch list items to be completed."/>
  </r>
  <r>
    <x v="1"/>
    <x v="13"/>
    <n v="8047"/>
    <s v="CP_400185"/>
    <x v="0"/>
    <x v="0"/>
    <x v="8"/>
    <x v="13"/>
    <x v="4"/>
    <s v="Ben Bedock"/>
    <n v="1232681"/>
    <n v="1232681"/>
    <n v="1113460"/>
    <n v="1113460"/>
    <n v="823000"/>
    <n v="1232681"/>
    <n v="0"/>
    <n v="0"/>
    <n v="0"/>
    <n v="0"/>
    <s v="08/22/2023 Primary roof installation is complete.  Metal work remains.  Metal work will be completed by 08/31."/>
  </r>
  <r>
    <x v="1"/>
    <x v="14"/>
    <n v="8145"/>
    <s v="CP_400164"/>
    <x v="1"/>
    <x v="1"/>
    <x v="1"/>
    <x v="14"/>
    <x v="4"/>
    <s v="Sean Rewers"/>
    <n v="218202"/>
    <n v="218202"/>
    <n v="195665"/>
    <n v="195665"/>
    <n v="166360"/>
    <n v="218202"/>
    <n v="0"/>
    <n v="0"/>
    <n v="0"/>
    <n v="0"/>
    <s v="08/22/2023 Pumps have been installed. We are awaiting some electrical starters and insulation to wrap up the project."/>
  </r>
  <r>
    <x v="1"/>
    <x v="15"/>
    <n v="8146"/>
    <s v="CP_400154"/>
    <x v="4"/>
    <x v="4"/>
    <x v="4"/>
    <x v="15"/>
    <x v="2"/>
    <s v="Hans Mooy"/>
    <n v="4500000"/>
    <n v="223000"/>
    <n v="220566.21"/>
    <n v="220566.21"/>
    <n v="185191.21"/>
    <n v="223000"/>
    <n v="0"/>
    <n v="0"/>
    <n v="0"/>
    <s v="TBD"/>
    <s v="05/22/2023 on hold"/>
  </r>
  <r>
    <x v="1"/>
    <x v="16"/>
    <n v="8241"/>
    <s v="CP_400171"/>
    <x v="0"/>
    <x v="0"/>
    <x v="11"/>
    <x v="16"/>
    <x v="3"/>
    <s v="Ben Bedock"/>
    <n v="630554"/>
    <n v="630554"/>
    <n v="571789"/>
    <n v="571789"/>
    <n v="175193.4"/>
    <n v="630554"/>
    <n v="0"/>
    <n v="0"/>
    <n v="0"/>
    <n v="0"/>
    <s v="08/22/2023 Construction complete."/>
  </r>
  <r>
    <x v="0"/>
    <x v="17"/>
    <n v="8239"/>
    <m/>
    <x v="6"/>
    <x v="6"/>
    <x v="12"/>
    <x v="17"/>
    <x v="4"/>
    <s v="Ben Bedock"/>
    <n v="125875"/>
    <n v="125875"/>
    <n v="112250"/>
    <n v="112250"/>
    <n v="85500"/>
    <n v="125875"/>
    <n v="0"/>
    <n v="0"/>
    <n v="0"/>
    <n v="0"/>
    <s v="08/22/2023 Main entrance door to be installed in September.  Once installed, project will be complete."/>
  </r>
  <r>
    <x v="1"/>
    <x v="18"/>
    <n v="8168"/>
    <s v="CP_400160"/>
    <x v="7"/>
    <x v="7"/>
    <x v="13"/>
    <x v="18"/>
    <x v="2"/>
    <s v="Sean Rewers"/>
    <m/>
    <n v="146500"/>
    <n v="146500"/>
    <n v="146500"/>
    <n v="0"/>
    <n v="146500"/>
    <n v="0"/>
    <n v="35000"/>
    <n v="35000"/>
    <n v="0"/>
    <s v="08/22/2023 Envision is working on getting a detailed analysis of each HVAC option. We will be having a GC price out each option as our final piece of data to select what type of system we will install. Full CDs will begin after that assessment."/>
  </r>
  <r>
    <x v="1"/>
    <x v="19"/>
    <n v="8151"/>
    <s v="CP_400163"/>
    <x v="7"/>
    <x v="7"/>
    <x v="9"/>
    <x v="19"/>
    <x v="2"/>
    <s v="Sean Rewers"/>
    <m/>
    <n v="206500"/>
    <n v="206500"/>
    <n v="206500"/>
    <n v="47010"/>
    <n v="206500"/>
    <n v="0"/>
    <n v="35000"/>
    <n v="35000"/>
    <n v="0"/>
    <s v="09/01/2023 We are awaiting specs from Hobbs/HVAC Supplier before we can secure pre-construction contractor. ICT has been working on getting drawings ready for pre-construction. Should have a contractor working on pre-con before next update."/>
  </r>
  <r>
    <x v="1"/>
    <x v="20"/>
    <n v="1138"/>
    <s v="CP_400168"/>
    <x v="6"/>
    <x v="6"/>
    <x v="14"/>
    <x v="20"/>
    <x v="2"/>
    <s v="Sean Rewers"/>
    <m/>
    <n v="29250"/>
    <n v="29250"/>
    <n v="29250"/>
    <n v="21207.5"/>
    <n v="29250"/>
    <n v="0"/>
    <s v="TBD"/>
    <n v="0"/>
    <n v="0"/>
    <s v="08/29/2023 We have received an updated design set which we will be reviewing over the next few weeks. We have not secured another company to do the radio survey for the building. If the drawing set is approved by the department and Fire/Life Safety we may proceed with bidding to get some cost estimates."/>
  </r>
  <r>
    <x v="0"/>
    <x v="21"/>
    <n v="851"/>
    <m/>
    <x v="6"/>
    <x v="6"/>
    <x v="10"/>
    <x v="21"/>
    <x v="4"/>
    <s v="Sean Rewers"/>
    <n v="80000"/>
    <n v="79623"/>
    <n v="73823.77"/>
    <n v="73823.77"/>
    <n v="73823.77"/>
    <n v="79623"/>
    <n v="0"/>
    <n v="0"/>
    <n v="0"/>
    <n v="0"/>
    <s v="08/22/2023 Project is mostly complete. We turned the steam on, which has not been run to AHUs in 6 years. No leaks but steam traps need to be replaced. Sylvan is working on a quote to have these replaced."/>
  </r>
  <r>
    <x v="1"/>
    <x v="22"/>
    <n v="4399"/>
    <s v="CP_400198"/>
    <x v="6"/>
    <x v="6"/>
    <x v="15"/>
    <x v="22"/>
    <x v="2"/>
    <s v="Sean Rewers"/>
    <n v="500000"/>
    <n v="499093"/>
    <n v="0"/>
    <n v="18000"/>
    <n v="0"/>
    <n v="499093"/>
    <n v="0"/>
    <n v="0"/>
    <n v="0"/>
    <n v="0"/>
    <s v="08/22/2023 Project is mostly complete. We turned the steam on, which has not been run to AHUs in 6 years. No leaks but steam traps need to be replaced. Sylvan is working on a quote to have these replaced."/>
  </r>
  <r>
    <x v="1"/>
    <x v="23"/>
    <n v="8432"/>
    <s v="CP_400165"/>
    <x v="0"/>
    <x v="0"/>
    <x v="8"/>
    <x v="23"/>
    <x v="3"/>
    <s v="Ben Bedock"/>
    <n v="225791"/>
    <n v="239341"/>
    <n v="209419"/>
    <n v="209419"/>
    <n v="205444"/>
    <n v="239341"/>
    <n v="0"/>
    <n v="0"/>
    <n v="0"/>
    <n v="0"/>
    <s v="08/22/2023 Construction complete"/>
  </r>
  <r>
    <x v="1"/>
    <x v="24"/>
    <n v="8608"/>
    <s v="CP_400174"/>
    <x v="6"/>
    <x v="6"/>
    <x v="16"/>
    <x v="24"/>
    <x v="4"/>
    <s v="Erin Fry"/>
    <n v="715000"/>
    <n v="715000"/>
    <n v="617745.19999999995"/>
    <n v="622431.19999999995"/>
    <n v="482034.33"/>
    <n v="96166"/>
    <n v="0"/>
    <n v="0"/>
    <n v="0"/>
    <n v="0"/>
    <s v="08/28/2023 Construction complete. Change order 1 in process. Signage and sound masking need to be installed."/>
  </r>
  <r>
    <x v="1"/>
    <x v="25"/>
    <n v="1628"/>
    <s v="CP_400187"/>
    <x v="1"/>
    <x v="1"/>
    <x v="1"/>
    <x v="25"/>
    <x v="4"/>
    <s v="Hans Mooy"/>
    <n v="1500000"/>
    <n v="160500"/>
    <n v="155232.51999999999"/>
    <n v="155232.51999999999"/>
    <n v="138257.51999999999"/>
    <n v="160500"/>
    <n v="0"/>
    <n v="1339500"/>
    <n v="1339500"/>
    <n v="0"/>
    <s v="08/22/2023 Project kick-off meeting to occur on 09/05/23"/>
  </r>
  <r>
    <x v="1"/>
    <x v="26"/>
    <n v="8557"/>
    <s v="CP_400178"/>
    <x v="4"/>
    <x v="4"/>
    <x v="4"/>
    <x v="26"/>
    <x v="2"/>
    <s v="Hans Mooy"/>
    <n v="1500000"/>
    <n v="23400"/>
    <n v="21480"/>
    <n v="21480"/>
    <n v="12000"/>
    <n v="23400"/>
    <n v="0"/>
    <n v="1476600"/>
    <n v="1476600"/>
    <n v="0"/>
    <s v="08/22/2023 Final footer structural design pending"/>
  </r>
  <r>
    <x v="0"/>
    <x v="27"/>
    <n v="8226"/>
    <m/>
    <x v="8"/>
    <x v="8"/>
    <x v="17"/>
    <x v="27"/>
    <x v="4"/>
    <s v="Ben Bedock"/>
    <n v="300000"/>
    <n v="300000"/>
    <n v="276500"/>
    <n v="276500"/>
    <n v="24150"/>
    <n v="300000"/>
    <n v="0"/>
    <n v="0"/>
    <n v="0"/>
    <n v="0"/>
    <s v="08/22/2023 Contractor has been delayed.  Working on weekends only.  Will finished by 08/27."/>
  </r>
  <r>
    <x v="0"/>
    <x v="28"/>
    <n v="8673"/>
    <m/>
    <x v="0"/>
    <x v="0"/>
    <x v="18"/>
    <x v="28"/>
    <x v="2"/>
    <s v="Jay Surprenant"/>
    <m/>
    <n v="0"/>
    <n v="0"/>
    <n v="0"/>
    <n v="0"/>
    <n v="0"/>
    <n v="0"/>
    <n v="35000"/>
    <n v="35000"/>
    <n v="0"/>
    <s v="08/22/2023 Project will start construction in winter 2023."/>
  </r>
  <r>
    <x v="0"/>
    <x v="29"/>
    <n v="8674"/>
    <m/>
    <x v="6"/>
    <x v="6"/>
    <x v="10"/>
    <x v="29"/>
    <x v="0"/>
    <s v="Sean Rewers"/>
    <n v="25000"/>
    <n v="24997"/>
    <n v="17972"/>
    <n v="17972"/>
    <n v="17972"/>
    <n v="24997"/>
    <n v="0"/>
    <n v="0"/>
    <n v="0"/>
    <n v="0"/>
    <s v="07/24/2023 Project is complete. I will begin closeout after taking some final photos of the space."/>
  </r>
  <r>
    <x v="1"/>
    <x v="30"/>
    <n v="8675"/>
    <m/>
    <x v="8"/>
    <x v="8"/>
    <x v="17"/>
    <x v="30"/>
    <x v="6"/>
    <s v="Ben Bedock"/>
    <m/>
    <n v="0"/>
    <n v="0"/>
    <n v="0"/>
    <n v="0"/>
    <n v="0"/>
    <n v="0"/>
    <s v="TBD"/>
    <n v="0"/>
    <n v="0"/>
    <s v="08/22/2023 Scope is currently being designed.  Once complete, bidding process will begin."/>
  </r>
  <r>
    <x v="1"/>
    <x v="31"/>
    <n v="1035"/>
    <s v="CP_400206"/>
    <x v="3"/>
    <x v="3"/>
    <x v="3"/>
    <x v="31"/>
    <x v="4"/>
    <s v="Ben Bedock"/>
    <n v="400000"/>
    <n v="483440"/>
    <n v="441580"/>
    <n v="441580"/>
    <n v="404017"/>
    <n v="483440"/>
    <n v="0"/>
    <n v="0"/>
    <n v="0"/>
    <n v="0"/>
    <s v="08/22/2023 First stage of roof installation is complete.  Roof rock installation will be completed over Thanksgiving break."/>
  </r>
  <r>
    <x v="0"/>
    <x v="32"/>
    <m/>
    <m/>
    <x v="0"/>
    <x v="0"/>
    <x v="0"/>
    <x v="32"/>
    <x v="6"/>
    <s v="Ben Bedock"/>
    <n v="75000"/>
    <n v="0"/>
    <n v="0"/>
    <n v="0"/>
    <n v="0"/>
    <n v="0"/>
    <n v="0"/>
    <n v="0"/>
    <n v="0"/>
    <n v="0"/>
    <s v="09/06/2023:  Structural engineer has been contacted and working on scheduling meeting to discuss the proposed scope and the needs of the project."/>
  </r>
  <r>
    <x v="0"/>
    <x v="33"/>
    <m/>
    <m/>
    <x v="6"/>
    <x v="6"/>
    <x v="19"/>
    <x v="33"/>
    <x v="5"/>
    <s v="Sean Rewers"/>
    <m/>
    <n v="0"/>
    <n v="0"/>
    <n v="0"/>
    <n v="0"/>
    <n v="0"/>
    <n v="0"/>
    <n v="0"/>
    <n v="0"/>
    <n v="0"/>
    <s v="New project for engineering study."/>
  </r>
  <r>
    <x v="0"/>
    <x v="34"/>
    <m/>
    <m/>
    <x v="6"/>
    <x v="6"/>
    <x v="14"/>
    <x v="34"/>
    <x v="2"/>
    <s v="Sean Rewers"/>
    <m/>
    <n v="0"/>
    <n v="0"/>
    <n v="0"/>
    <n v="0"/>
    <n v="0"/>
    <n v="0"/>
    <n v="0"/>
    <n v="0"/>
    <n v="0"/>
    <s v="New project for engineering study."/>
  </r>
  <r>
    <x v="0"/>
    <x v="35"/>
    <m/>
    <m/>
    <x v="6"/>
    <x v="6"/>
    <x v="15"/>
    <x v="35"/>
    <x v="5"/>
    <s v="Sean Rewers"/>
    <m/>
    <n v="0"/>
    <n v="0"/>
    <n v="0"/>
    <n v="0"/>
    <n v="0"/>
    <n v="0"/>
    <n v="0"/>
    <n v="0"/>
    <n v="0"/>
    <s v="New project for engineering study."/>
  </r>
  <r>
    <x v="0"/>
    <x v="36"/>
    <m/>
    <m/>
    <x v="0"/>
    <x v="0"/>
    <x v="8"/>
    <x v="36"/>
    <x v="2"/>
    <s v="Sean Rewers"/>
    <m/>
    <n v="0"/>
    <n v="0"/>
    <n v="0"/>
    <n v="0"/>
    <n v="0"/>
    <n v="0"/>
    <n v="0"/>
    <n v="0"/>
    <n v="0"/>
    <s v="New project for engineering study."/>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1C66036-39B2-46ED-A9D3-C32DD6990752}" name="PivotTable1" cacheId="3"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C12" firstHeaderRow="0" firstDataRow="1" firstDataCol="1"/>
  <pivotFields count="21">
    <pivotField showAll="0">
      <items count="4">
        <item x="1"/>
        <item x="0"/>
        <item x="2"/>
        <item t="default"/>
      </items>
    </pivotField>
    <pivotField showAll="0"/>
    <pivotField showAll="0"/>
    <pivotField showAll="0"/>
    <pivotField axis="axisRow" showAll="0">
      <items count="10">
        <item x="6"/>
        <item x="4"/>
        <item x="5"/>
        <item x="7"/>
        <item x="3"/>
        <item x="1"/>
        <item x="0"/>
        <item x="2"/>
        <item x="8"/>
        <item t="default"/>
      </items>
    </pivotField>
    <pivotField showAll="0">
      <items count="10">
        <item x="6"/>
        <item h="1" x="4"/>
        <item h="1" x="5"/>
        <item h="1" x="7"/>
        <item h="1" x="3"/>
        <item h="1" x="2"/>
        <item h="1" x="8"/>
        <item h="1" x="0"/>
        <item h="1" x="1"/>
        <item t="default"/>
      </items>
    </pivotField>
    <pivotField axis="axisRow" showAll="0">
      <items count="21">
        <item x="13"/>
        <item x="12"/>
        <item x="4"/>
        <item x="5"/>
        <item x="2"/>
        <item x="7"/>
        <item x="9"/>
        <item x="3"/>
        <item x="1"/>
        <item x="0"/>
        <item x="11"/>
        <item x="10"/>
        <item x="8"/>
        <item x="14"/>
        <item x="15"/>
        <item x="6"/>
        <item x="17"/>
        <item x="16"/>
        <item x="18"/>
        <item x="19"/>
        <item t="default"/>
      </items>
    </pivotField>
    <pivotField showAll="0"/>
    <pivotField showAll="0"/>
    <pivotField showAll="0"/>
    <pivotField dataField="1" numFmtId="165" showAll="0"/>
    <pivotField dataField="1" numFmtId="165" showAll="0"/>
    <pivotField numFmtId="165" showAll="0"/>
    <pivotField numFmtId="165" showAll="0"/>
    <pivotField numFmtId="165" showAll="0"/>
    <pivotField numFmtId="164" showAll="0"/>
    <pivotField showAll="0"/>
    <pivotField showAll="0"/>
    <pivotField showAll="0"/>
    <pivotField showAll="0"/>
    <pivotField showAll="0"/>
  </pivotFields>
  <rowFields count="2">
    <field x="4"/>
    <field x="6"/>
  </rowFields>
  <rowItems count="9">
    <i>
      <x/>
    </i>
    <i r="1">
      <x v="1"/>
    </i>
    <i r="1">
      <x v="11"/>
    </i>
    <i r="1">
      <x v="13"/>
    </i>
    <i r="1">
      <x v="14"/>
    </i>
    <i r="1">
      <x v="15"/>
    </i>
    <i r="1">
      <x v="17"/>
    </i>
    <i r="1">
      <x v="19"/>
    </i>
    <i t="grand">
      <x/>
    </i>
  </rowItems>
  <colFields count="1">
    <field x="-2"/>
  </colFields>
  <colItems count="2">
    <i>
      <x/>
    </i>
    <i i="1">
      <x v="1"/>
    </i>
  </colItems>
  <dataFields count="2">
    <dataField name="Estimated Budget" fld="10" baseField="5" baseItem="1" numFmtId="3"/>
    <dataField name="Approved_Budget" fld="11" baseField="5" baseItem="1" numFmtId="3"/>
  </dataField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1A1EC2B-B06A-4560-99F5-65193E380D90}" name="PivotTable1" cacheId="3"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D48" firstHeaderRow="0" firstDataRow="1" firstDataCol="1"/>
  <pivotFields count="21">
    <pivotField showAll="0">
      <items count="4">
        <item x="1"/>
        <item x="0"/>
        <item x="2"/>
        <item t="default"/>
      </items>
    </pivotField>
    <pivotField showAl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t="default"/>
      </items>
    </pivotField>
    <pivotField showAll="0"/>
    <pivotField showAll="0"/>
    <pivotField showAll="0">
      <items count="10">
        <item x="6"/>
        <item x="4"/>
        <item x="5"/>
        <item x="7"/>
        <item x="3"/>
        <item x="1"/>
        <item x="0"/>
        <item x="2"/>
        <item x="8"/>
        <item t="default"/>
      </items>
    </pivotField>
    <pivotField showAll="0">
      <items count="10">
        <item x="6"/>
        <item x="4"/>
        <item x="5"/>
        <item x="7"/>
        <item x="3"/>
        <item x="2"/>
        <item x="8"/>
        <item x="0"/>
        <item x="1"/>
        <item t="default"/>
      </items>
    </pivotField>
    <pivotField showAll="0">
      <items count="21">
        <item x="13"/>
        <item x="12"/>
        <item x="4"/>
        <item x="5"/>
        <item x="2"/>
        <item x="7"/>
        <item x="9"/>
        <item x="3"/>
        <item x="1"/>
        <item x="0"/>
        <item x="11"/>
        <item x="10"/>
        <item x="8"/>
        <item x="14"/>
        <item x="15"/>
        <item x="6"/>
        <item x="17"/>
        <item x="16"/>
        <item x="18"/>
        <item x="19"/>
        <item t="default"/>
      </items>
    </pivotField>
    <pivotField axis="axisRow" showAll="0">
      <items count="38">
        <item x="18"/>
        <item x="17"/>
        <item x="15"/>
        <item x="4"/>
        <item x="26"/>
        <item x="6"/>
        <item x="24"/>
        <item x="7"/>
        <item x="5"/>
        <item x="2"/>
        <item x="8"/>
        <item x="19"/>
        <item x="11"/>
        <item x="3"/>
        <item x="31"/>
        <item x="1"/>
        <item x="25"/>
        <item x="14"/>
        <item x="0"/>
        <item x="32"/>
        <item x="30"/>
        <item x="27"/>
        <item x="16"/>
        <item x="12"/>
        <item x="29"/>
        <item x="22"/>
        <item x="35"/>
        <item x="33"/>
        <item x="21"/>
        <item x="28"/>
        <item x="20"/>
        <item x="34"/>
        <item x="23"/>
        <item x="36"/>
        <item x="13"/>
        <item x="10"/>
        <item x="9"/>
        <item t="default"/>
      </items>
    </pivotField>
    <pivotField axis="axisRow" showAll="0">
      <items count="8">
        <item x="4"/>
        <item x="2"/>
        <item x="0"/>
        <item x="1"/>
        <item x="5"/>
        <item x="6"/>
        <item x="3"/>
        <item t="default"/>
      </items>
    </pivotField>
    <pivotField showAll="0"/>
    <pivotField numFmtId="165" showAll="0"/>
    <pivotField numFmtId="165" showAll="0"/>
    <pivotField numFmtId="165" showAll="0"/>
    <pivotField numFmtId="165" showAll="0"/>
    <pivotField dataField="1" numFmtId="165" showAll="0"/>
    <pivotField dataField="1" numFmtId="164" showAll="0"/>
    <pivotField dataField="1" showAll="0"/>
    <pivotField showAll="0"/>
    <pivotField showAll="0"/>
    <pivotField showAll="0"/>
    <pivotField showAll="0"/>
  </pivotFields>
  <rowFields count="2">
    <field x="8"/>
    <field x="7"/>
  </rowFields>
  <rowItems count="45">
    <i>
      <x/>
    </i>
    <i r="1">
      <x v="1"/>
    </i>
    <i r="1">
      <x v="5"/>
    </i>
    <i r="1">
      <x v="6"/>
    </i>
    <i r="1">
      <x v="8"/>
    </i>
    <i r="1">
      <x v="14"/>
    </i>
    <i r="1">
      <x v="16"/>
    </i>
    <i r="1">
      <x v="17"/>
    </i>
    <i r="1">
      <x v="21"/>
    </i>
    <i r="1">
      <x v="28"/>
    </i>
    <i r="1">
      <x v="34"/>
    </i>
    <i r="1">
      <x v="35"/>
    </i>
    <i>
      <x v="1"/>
    </i>
    <i r="1">
      <x/>
    </i>
    <i r="1">
      <x v="2"/>
    </i>
    <i r="1">
      <x v="4"/>
    </i>
    <i r="1">
      <x v="7"/>
    </i>
    <i r="1">
      <x v="9"/>
    </i>
    <i r="1">
      <x v="11"/>
    </i>
    <i r="1">
      <x v="25"/>
    </i>
    <i r="1">
      <x v="29"/>
    </i>
    <i r="1">
      <x v="30"/>
    </i>
    <i r="1">
      <x v="31"/>
    </i>
    <i r="1">
      <x v="33"/>
    </i>
    <i>
      <x v="2"/>
    </i>
    <i r="1">
      <x v="18"/>
    </i>
    <i r="1">
      <x v="24"/>
    </i>
    <i>
      <x v="3"/>
    </i>
    <i r="1">
      <x v="15"/>
    </i>
    <i>
      <x v="4"/>
    </i>
    <i r="1">
      <x v="12"/>
    </i>
    <i r="1">
      <x v="26"/>
    </i>
    <i r="1">
      <x v="27"/>
    </i>
    <i>
      <x v="5"/>
    </i>
    <i r="1">
      <x v="19"/>
    </i>
    <i r="1">
      <x v="20"/>
    </i>
    <i>
      <x v="6"/>
    </i>
    <i r="1">
      <x v="3"/>
    </i>
    <i r="1">
      <x v="10"/>
    </i>
    <i r="1">
      <x v="13"/>
    </i>
    <i r="1">
      <x v="22"/>
    </i>
    <i r="1">
      <x v="23"/>
    </i>
    <i r="1">
      <x v="32"/>
    </i>
    <i r="1">
      <x v="36"/>
    </i>
    <i t="grand">
      <x/>
    </i>
  </rowItems>
  <colFields count="1">
    <field x="-2"/>
  </colFields>
  <colItems count="3">
    <i>
      <x/>
    </i>
    <i i="1">
      <x v="1"/>
    </i>
    <i i="2">
      <x v="2"/>
    </i>
  </colItems>
  <dataFields count="3">
    <dataField name="Actual Costs" fld="14" baseField="8" baseItem="0" numFmtId="3"/>
    <dataField name="FY23 FRP Cash" fld="15" baseField="8" baseItem="0" numFmtId="3"/>
    <dataField name="FY24 FRP Cash" fld="16" baseField="8" baseItem="0" numFmtId="3"/>
  </dataField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ex___opex" xr10:uid="{29E6F412-9D48-48CD-9995-F1E916308892}" sourceName="Capex / opex">
  <pivotTables>
    <pivotTable tabId="9" name="PivotTable1"/>
  </pivotTables>
  <data>
    <tabular pivotCacheId="124221191">
      <items count="3">
        <i x="1" s="1"/>
        <i x="0" s="1"/>
        <i x="2"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 xr10:uid="{B26DBAE2-73B9-4565-8896-5746AFAFEB8A}" sourceName="Building">
  <pivotTables>
    <pivotTable tabId="9" name="PivotTable1"/>
  </pivotTables>
  <data>
    <tabular pivotCacheId="124221191">
      <items count="20">
        <i x="12" s="1"/>
        <i x="6" s="1"/>
        <i x="16" s="1"/>
        <i x="10" s="1"/>
        <i x="19" s="1"/>
        <i x="15" s="1"/>
        <i x="14" s="1"/>
        <i x="13" s="1" nd="1"/>
        <i x="4" s="1" nd="1"/>
        <i x="5" s="1" nd="1"/>
        <i x="2" s="1" nd="1"/>
        <i x="7" s="1" nd="1"/>
        <i x="9" s="1" nd="1"/>
        <i x="3" s="1" nd="1"/>
        <i x="1" s="1" nd="1"/>
        <i x="0" s="1" nd="1"/>
        <i x="17" s="1" nd="1"/>
        <i x="11" s="1" nd="1"/>
        <i x="18" s="1" nd="1"/>
        <i x="8"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okup" xr10:uid="{08AE7F90-5B24-441F-AABD-71AA52864F59}" sourceName="Lookup">
  <pivotTables>
    <pivotTable tabId="9" name="PivotTable1"/>
  </pivotTables>
  <data>
    <tabular pivotCacheId="124221191">
      <items count="9">
        <i x="6" s="1"/>
        <i x="4"/>
        <i x="5"/>
        <i x="7"/>
        <i x="3"/>
        <i x="2"/>
        <i x="8"/>
        <i x="0"/>
        <i x="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pex / opex" xr10:uid="{3CFD10E7-A13B-4EB7-AE28-8D224814F2D2}" cache="Slicer_Capex___opex" caption="Capex / opex" rowHeight="245835"/>
  <slicer name="Building" xr10:uid="{A6BD8F1A-9B3C-4ABA-8515-017B1E2FA5D8}" cache="Slicer_Building" caption="Building" style="SlicerStyleLight4" rowHeight="245835"/>
  <slicer name="Lookup" xr10:uid="{D8123575-668F-4FF0-92CF-93CD370247DF}" cache="Slicer_Lookup" caption="Lookup" style="SlicerStyleLight3" rowHeight="245835"/>
</slicer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5-17T18:14:40.74" personId="{25485ED3-42D9-422C-9A77-5F76F434CCD0}" id="{B94B61BE-9E95-456D-83ED-BA5ED89F596A}">
    <text>Will potentially include roof repairs in scope.</text>
  </threadedComment>
  <threadedComment ref="L10" dT="2023-02-09T15:08:20.39" personId="{25485ED3-42D9-422C-9A77-5F76F434CCD0}" id="{DBD976BE-1EA5-4F82-B578-BB477409D36E}">
    <text>Includes both A&amp;S swing space and FRP scope.</text>
  </threadedComment>
  <threadedComment ref="I26" dT="2023-05-17T18:10:17.03" personId="{25485ED3-42D9-422C-9A77-5F76F434CCD0}" id="{08FDBB7B-1C2A-4B25-87EE-E5D1E2497356}">
    <text>Coordinating with EHS, may change direction.</text>
  </threadedComment>
  <threadedComment ref="L28" dT="2023-02-09T15:08:20.39" personId="{25485ED3-42D9-422C-9A77-5F76F434CCD0}" id="{CD0EAA3A-8612-41AC-AEA9-2402CC95F0F9}">
    <text xml:space="preserve">Includes both A&amp;S third floor renovation FRP (VAV boxes) scope. </text>
  </threadedComment>
  <threadedComment ref="I37" dT="2023-08-23T18:07:53.49" personId="{25485ED3-42D9-422C-9A77-5F76F434CCD0}" id="{E105EA63-7C78-41C4-8D8F-2A5203F081DB}">
    <text>Feasibility study to occur FY24 as opex cost. Unsure timing of eventual construction.</text>
  </threadedComment>
  <threadedComment ref="I38" dT="2023-08-23T18:07:53.49" personId="{25485ED3-42D9-422C-9A77-5F76F434CCD0}" id="{E5436728-87D0-492B-83F9-14F3FA74D779}">
    <text>Feasibility study to occur FY24 as opex cost. Unsure timing of eventual construction.</text>
  </threadedComment>
  <threadedComment ref="I39" dT="2023-08-23T18:07:59.09" personId="{25485ED3-42D9-422C-9A77-5F76F434CCD0}" id="{2718DB0D-6394-4B31-BD4D-B1D4C2924D70}">
    <text>Feasibility study to occur FY24 as opex cost. Unsure timing of eventual construction.</text>
  </threadedComment>
  <threadedComment ref="I40" dT="2023-08-23T18:07:53.49" personId="{25485ED3-42D9-422C-9A77-5F76F434CCD0}" id="{8ED98847-D2CA-4CFE-9BE1-BEC4361D0A3D}">
    <text>Feasibility study to occur FY24 as opex cost. Unsure timing of eventual construction.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1.xml"/><Relationship Id="rId4" Type="http://schemas.microsoft.com/office/2007/relationships/slicer" Target="../slicers/slicer1.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9932-010C-4D3C-8086-FBA276DBF10D}">
  <dimension ref="B2:I15"/>
  <sheetViews>
    <sheetView showGridLines="0" zoomScale="130" zoomScaleNormal="130" workbookViewId="0"/>
  </sheetViews>
  <sheetFormatPr defaultRowHeight="14.6" x14ac:dyDescent="0.4"/>
  <sheetData>
    <row r="2" spans="2:9" x14ac:dyDescent="0.4">
      <c r="I2" s="174"/>
    </row>
    <row r="4" spans="2:9" ht="20.6" x14ac:dyDescent="0.55000000000000004">
      <c r="B4" s="191" t="s">
        <v>308</v>
      </c>
    </row>
    <row r="6" spans="2:9" x14ac:dyDescent="0.4">
      <c r="B6" s="22" t="s">
        <v>309</v>
      </c>
    </row>
    <row r="7" spans="2:9" x14ac:dyDescent="0.4">
      <c r="B7" s="22" t="s">
        <v>314</v>
      </c>
    </row>
    <row r="8" spans="2:9" x14ac:dyDescent="0.4">
      <c r="I8" s="174"/>
    </row>
    <row r="10" spans="2:9" x14ac:dyDescent="0.4">
      <c r="B10" s="22" t="s">
        <v>317</v>
      </c>
    </row>
    <row r="11" spans="2:9" x14ac:dyDescent="0.4">
      <c r="B11" s="22" t="s">
        <v>310</v>
      </c>
    </row>
    <row r="12" spans="2:9" x14ac:dyDescent="0.4">
      <c r="B12" s="22" t="s">
        <v>315</v>
      </c>
    </row>
    <row r="13" spans="2:9" x14ac:dyDescent="0.4">
      <c r="B13" s="22" t="s">
        <v>316</v>
      </c>
    </row>
    <row r="14" spans="2:9" x14ac:dyDescent="0.4">
      <c r="B14" s="22" t="s">
        <v>318</v>
      </c>
    </row>
    <row r="15" spans="2:9" x14ac:dyDescent="0.4">
      <c r="B15" s="22" t="s">
        <v>319</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7104-504D-4BF9-84F2-1CBD613CFA07}">
  <sheetPr>
    <tabColor theme="8"/>
  </sheetPr>
  <dimension ref="A1:K20"/>
  <sheetViews>
    <sheetView zoomScale="90" zoomScaleNormal="90" workbookViewId="0"/>
  </sheetViews>
  <sheetFormatPr defaultRowHeight="14.6" x14ac:dyDescent="0.4"/>
  <cols>
    <col min="1" max="1" width="8.53515625" bestFit="1" customWidth="1"/>
    <col min="2" max="2" width="5.53515625" bestFit="1" customWidth="1"/>
    <col min="3" max="3" width="6.69140625" bestFit="1" customWidth="1"/>
    <col min="4" max="4" width="40.53515625" bestFit="1" customWidth="1"/>
    <col min="5" max="5" width="58.69140625" bestFit="1" customWidth="1"/>
    <col min="6" max="6" width="17.53515625" bestFit="1" customWidth="1"/>
    <col min="7" max="7" width="12.3046875" bestFit="1" customWidth="1"/>
    <col min="8" max="9"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c r="I3" s="201" t="s">
        <v>320</v>
      </c>
    </row>
    <row r="4" spans="1:11" x14ac:dyDescent="0.4">
      <c r="A4" s="11">
        <v>10085</v>
      </c>
      <c r="B4" s="11">
        <f>VLOOKUP(A4,'Project Status'!C:D,2,FALSE)</f>
        <v>4591</v>
      </c>
      <c r="C4" s="11">
        <f>VLOOKUP(A4,'Project Status'!C:E,3,FALSE)</f>
        <v>0</v>
      </c>
      <c r="D4" s="11" t="str">
        <f>VLOOKUP(A4,'Project Status'!C:F,4,FALSE)</f>
        <v>21000 - Peabody College: Office of the Dean</v>
      </c>
      <c r="E4" s="11" t="str">
        <f>VLOOKUP(A4,'Project Status'!C:I,7,FALSE)</f>
        <v>One Magnolia Circle - Modify/Upgrade Electrical and Grounding</v>
      </c>
      <c r="F4" s="11" t="str">
        <f>VLOOKUP(A4,'Project Status'!C:J,8,FALSE)</f>
        <v>Finalized</v>
      </c>
      <c r="G4" s="11" t="str">
        <f>VLOOKUP(A4,'Project Status'!C:K,9,FALSE)</f>
        <v>Sean Rewers</v>
      </c>
      <c r="H4" s="100">
        <f>VLOOKUP(A4,'Project Status'!C:M,11,FALSE)</f>
        <v>22000</v>
      </c>
      <c r="I4" s="205">
        <f>VLOOKUP(B4,'Project Status'!D:N,11,FALSE)</f>
        <v>17500</v>
      </c>
    </row>
    <row r="8" spans="1:11" x14ac:dyDescent="0.4">
      <c r="E8" s="43" t="s">
        <v>126</v>
      </c>
    </row>
    <row r="9" spans="1:11" x14ac:dyDescent="0.4">
      <c r="E9" s="22" t="s">
        <v>219</v>
      </c>
      <c r="F9" s="35" t="s">
        <v>148</v>
      </c>
      <c r="H9" s="44">
        <v>22000</v>
      </c>
      <c r="I9" s="44"/>
    </row>
    <row r="10" spans="1:11" x14ac:dyDescent="0.4">
      <c r="E10" s="22" t="s">
        <v>321</v>
      </c>
      <c r="F10" t="s">
        <v>322</v>
      </c>
      <c r="H10" s="45">
        <v>-4500</v>
      </c>
      <c r="I10" s="45"/>
    </row>
    <row r="18" spans="5:8" x14ac:dyDescent="0.4">
      <c r="E18" s="163" t="s">
        <v>280</v>
      </c>
      <c r="F18" s="164"/>
      <c r="G18" s="163"/>
      <c r="H18" s="165">
        <f>SUM(H9:H17)</f>
        <v>17500</v>
      </c>
    </row>
    <row r="20" spans="5:8" x14ac:dyDescent="0.4">
      <c r="E20" s="166" t="s">
        <v>138</v>
      </c>
      <c r="F20" s="166"/>
      <c r="G20" s="166"/>
      <c r="H20" s="167">
        <f>I4-H18</f>
        <v>0</v>
      </c>
    </row>
  </sheetData>
  <hyperlinks>
    <hyperlink ref="K1" location="'Project Status'!A1" display="'Project Status'!A1" xr:uid="{33687509-4DFC-46F4-91EA-B013FA4D8936}"/>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5D11-D8D3-4300-A2FC-88AC07F15CC0}">
  <sheetPr>
    <tabColor theme="8"/>
    <pageSetUpPr fitToPage="1"/>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41.69140625" bestFit="1" customWidth="1"/>
    <col min="6" max="6" width="31.3046875" bestFit="1" customWidth="1"/>
    <col min="7" max="7" width="11"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10098</v>
      </c>
      <c r="B4" s="11">
        <f>VLOOKUP(A4,'Project Status'!C:D,2,FALSE)</f>
        <v>1627</v>
      </c>
      <c r="C4" s="11" t="str">
        <f>VLOOKUP(A4,'Project Status'!C:E,3,FALSE)</f>
        <v>CP_400023</v>
      </c>
      <c r="D4" s="11" t="str">
        <f>VLOOKUP(A4,'Project Status'!C:F,4,FALSE)</f>
        <v>18200 - Basic Sciences: Office of the Dean</v>
      </c>
      <c r="E4" s="11" t="str">
        <f>VLOOKUP(A4,'Project Status'!C:I,7,FALSE)</f>
        <v>MRB III - 4th Floor - Replace Controls (Phase 2)</v>
      </c>
      <c r="F4" s="11" t="str">
        <f>VLOOKUP(A4,'Project Status'!C:J,8,FALSE)</f>
        <v>Financial Closeout</v>
      </c>
      <c r="G4" s="11" t="str">
        <f>VLOOKUP(A4,'Project Status'!C:K,9,FALSE)</f>
        <v>Hans Mooy</v>
      </c>
      <c r="H4" s="42">
        <f>VLOOKUP(A4,'Project Status'!C:M,11,FALSE)</f>
        <v>1216485.5</v>
      </c>
    </row>
    <row r="8" spans="1:11" x14ac:dyDescent="0.4">
      <c r="E8" s="43" t="s">
        <v>126</v>
      </c>
    </row>
    <row r="9" spans="1:11" x14ac:dyDescent="0.4">
      <c r="E9" s="22" t="s">
        <v>136</v>
      </c>
      <c r="F9" s="35">
        <v>44769</v>
      </c>
      <c r="H9" s="44">
        <v>1216485.5</v>
      </c>
    </row>
    <row r="13" spans="1:11" x14ac:dyDescent="0.4">
      <c r="F13" s="10"/>
      <c r="G13" s="10"/>
      <c r="H13" s="47"/>
    </row>
    <row r="18" spans="5:8" x14ac:dyDescent="0.4">
      <c r="E18" s="163" t="s">
        <v>280</v>
      </c>
      <c r="F18" s="164"/>
      <c r="G18" s="163"/>
      <c r="H18" s="165">
        <f>SUM(H9:H17)</f>
        <v>1216485.5</v>
      </c>
    </row>
    <row r="20" spans="5:8" x14ac:dyDescent="0.4">
      <c r="E20" s="166" t="s">
        <v>138</v>
      </c>
      <c r="F20" s="166"/>
      <c r="G20" s="166"/>
      <c r="H20" s="167">
        <f>H4-H18</f>
        <v>0</v>
      </c>
    </row>
  </sheetData>
  <hyperlinks>
    <hyperlink ref="K1" location="'Project Status'!A1" display="'Project Status'!A1" xr:uid="{3F842A42-250F-4C9F-9E17-1DC6C976A04F}"/>
  </hyperlinks>
  <pageMargins left="0.7" right="0.7" top="0.75" bottom="0.75" header="0.3" footer="0.3"/>
  <pageSetup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E31-E0C5-4A8C-BF15-1892C1CE6710}">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0.69140625" bestFit="1" customWidth="1"/>
    <col min="5" max="5" width="30.3046875" bestFit="1" customWidth="1"/>
    <col min="6" max="6" width="7" bestFit="1" customWidth="1"/>
    <col min="7" max="7" width="12.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10146</v>
      </c>
      <c r="B4" s="11">
        <f>VLOOKUP(A4,'Project Status'!C:D,2,FALSE)</f>
        <v>4418</v>
      </c>
      <c r="C4" s="11" t="str">
        <f>VLOOKUP(A4,'Project Status'!C:E,3,FALSE)</f>
        <v>CP_400025</v>
      </c>
      <c r="D4" s="11" t="str">
        <f>VLOOKUP(A4,'Project Status'!C:F,4,FALSE)</f>
        <v>19100 - Nursing: Business Affairs</v>
      </c>
      <c r="E4" s="11" t="str">
        <f>VLOOKUP(A4,'Project Status'!C:I,7,FALSE)</f>
        <v>Godchaux Hall - HVAC Upgrade</v>
      </c>
      <c r="F4" s="11" t="str">
        <f>VLOOKUP(A4,'Project Status'!C:J,8,FALSE)</f>
        <v>Design</v>
      </c>
      <c r="G4" s="11" t="str">
        <f>VLOOKUP(A4,'Project Status'!C:K,9,FALSE)</f>
        <v>Sean Rewers</v>
      </c>
      <c r="H4" s="100">
        <f>VLOOKUP(A4,'Project Status'!C:M,11,FALSE)</f>
        <v>62100</v>
      </c>
    </row>
    <row r="8" spans="1:11" x14ac:dyDescent="0.4">
      <c r="E8" s="43" t="s">
        <v>126</v>
      </c>
    </row>
    <row r="9" spans="1:11" x14ac:dyDescent="0.4">
      <c r="E9" s="22" t="s">
        <v>219</v>
      </c>
      <c r="F9" s="35" t="s">
        <v>148</v>
      </c>
      <c r="H9" s="44">
        <v>4900</v>
      </c>
    </row>
    <row r="10" spans="1:11" x14ac:dyDescent="0.4">
      <c r="E10" s="34" t="s">
        <v>223</v>
      </c>
      <c r="F10" s="20"/>
      <c r="G10" s="20"/>
      <c r="H10" s="81">
        <v>57200</v>
      </c>
    </row>
    <row r="11" spans="1:11" x14ac:dyDescent="0.4">
      <c r="H11" s="46">
        <f>SUM(H9:H10)</f>
        <v>62100</v>
      </c>
    </row>
    <row r="12" spans="1:11" x14ac:dyDescent="0.4">
      <c r="H12" s="47"/>
    </row>
    <row r="13" spans="1:11" x14ac:dyDescent="0.4">
      <c r="F13" s="10"/>
      <c r="G13" s="10"/>
      <c r="H13" s="47"/>
    </row>
    <row r="18" spans="5:8" x14ac:dyDescent="0.4">
      <c r="E18" s="163" t="s">
        <v>280</v>
      </c>
      <c r="F18" s="164"/>
      <c r="G18" s="163"/>
      <c r="H18" s="165">
        <f>H9</f>
        <v>4900</v>
      </c>
    </row>
    <row r="20" spans="5:8" x14ac:dyDescent="0.4">
      <c r="E20" s="166" t="s">
        <v>138</v>
      </c>
      <c r="F20" s="166"/>
      <c r="G20" s="166"/>
      <c r="H20" s="167">
        <f>H4-H11</f>
        <v>0</v>
      </c>
    </row>
  </sheetData>
  <hyperlinks>
    <hyperlink ref="K1" location="'Project Status'!A1" display="'Project Status'!A1" xr:uid="{A956AABB-927C-4E8E-BB0A-A11D0E8D382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532-2517-40D8-9836-BAEE97010F5F}">
  <sheetPr>
    <tabColor theme="8"/>
    <pageSetUpPr fitToPage="1"/>
  </sheetPr>
  <dimension ref="A1:K20"/>
  <sheetViews>
    <sheetView zoomScale="90" zoomScaleNormal="90" workbookViewId="0">
      <selection activeCell="K1" sqref="K1"/>
    </sheetView>
  </sheetViews>
  <sheetFormatPr defaultRowHeight="14.6" x14ac:dyDescent="0.4"/>
  <cols>
    <col min="1" max="1" width="8.53515625" bestFit="1" customWidth="1"/>
    <col min="2" max="2" width="6.69140625" bestFit="1" customWidth="1"/>
    <col min="3" max="3" width="11" bestFit="1" customWidth="1"/>
    <col min="4" max="4" width="27.15234375" bestFit="1" customWidth="1"/>
    <col min="5" max="5" width="41.3828125" bestFit="1" customWidth="1"/>
    <col min="6" max="6" width="31.3046875" bestFit="1" customWidth="1"/>
    <col min="7" max="7" width="13.843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20179</v>
      </c>
      <c r="B4" s="11">
        <f>VLOOKUP(A4,'Project Status'!C:D,2,FALSE)</f>
        <v>36015</v>
      </c>
      <c r="C4" s="11" t="str">
        <f>VLOOKUP(A4,'Project Status'!C:E,3,FALSE)</f>
        <v>CP_400024</v>
      </c>
      <c r="D4" s="11" t="str">
        <f>VLOOKUP(A4,'Project Status'!C:F,4,FALSE)</f>
        <v>17100 - Law: Business Affairs</v>
      </c>
      <c r="E4" s="11" t="str">
        <f>VLOOKUP(A4,'Project Status'!C:I,7,FALSE)</f>
        <v>Law School - Fire Alarm System Replacement</v>
      </c>
      <c r="F4" s="11" t="str">
        <f>VLOOKUP(A4,'Project Status'!C:J,8,FALSE)</f>
        <v>Warranty or Construction Closeout</v>
      </c>
      <c r="G4" s="11" t="str">
        <f>VLOOKUP(A4,'Project Status'!C:K,9,FALSE)</f>
        <v>Bob Grummon</v>
      </c>
      <c r="H4" s="42">
        <f>VLOOKUP(A4,'Project Status'!C:M,11,FALSE)</f>
        <v>1445389</v>
      </c>
    </row>
    <row r="8" spans="1:11" x14ac:dyDescent="0.4">
      <c r="E8" s="43" t="s">
        <v>126</v>
      </c>
    </row>
    <row r="9" spans="1:11" x14ac:dyDescent="0.4">
      <c r="E9" s="22" t="s">
        <v>136</v>
      </c>
      <c r="F9" s="35">
        <v>44769</v>
      </c>
      <c r="H9" s="44">
        <v>722694.5</v>
      </c>
    </row>
    <row r="10" spans="1:11" x14ac:dyDescent="0.4">
      <c r="E10" s="34" t="s">
        <v>137</v>
      </c>
      <c r="F10" s="20"/>
      <c r="G10" s="20"/>
      <c r="H10" s="81">
        <f>H4*0.5</f>
        <v>722694.5</v>
      </c>
    </row>
    <row r="11" spans="1:11" x14ac:dyDescent="0.4">
      <c r="H11" s="46">
        <f>SUM(H9:H10)</f>
        <v>1445389</v>
      </c>
    </row>
    <row r="13" spans="1:11" x14ac:dyDescent="0.4">
      <c r="G13" s="10"/>
      <c r="H13" s="47"/>
    </row>
    <row r="18" spans="5:8" x14ac:dyDescent="0.4">
      <c r="E18" s="163" t="s">
        <v>280</v>
      </c>
      <c r="F18" s="164"/>
      <c r="G18" s="163"/>
      <c r="H18" s="165">
        <f>H9</f>
        <v>722694.5</v>
      </c>
    </row>
    <row r="20" spans="5:8" x14ac:dyDescent="0.4">
      <c r="E20" s="166" t="s">
        <v>138</v>
      </c>
      <c r="F20" s="166"/>
      <c r="G20" s="166"/>
      <c r="H20" s="167">
        <f>H4-H11</f>
        <v>0</v>
      </c>
    </row>
  </sheetData>
  <hyperlinks>
    <hyperlink ref="K1" location="'Project Status'!A1" display="'Project Status'!A1" xr:uid="{FF747D79-FA74-4041-9077-E03AA4DE35BB}"/>
  </hyperlinks>
  <pageMargins left="0.7" right="0.7" top="0.75" bottom="0.75" header="0.3" footer="0.3"/>
  <pageSetup scale="9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3ABF-18C6-4F89-8C73-DC9A13A9BBFA}">
  <sheetPr>
    <tabColor theme="8"/>
  </sheetPr>
  <dimension ref="A1:K20"/>
  <sheetViews>
    <sheetView zoomScale="90" zoomScaleNormal="90" workbookViewId="0">
      <selection activeCell="K1" sqref="K1"/>
    </sheetView>
  </sheetViews>
  <sheetFormatPr defaultRowHeight="14.6" x14ac:dyDescent="0.4"/>
  <cols>
    <col min="1" max="1" width="8.53515625" bestFit="1" customWidth="1"/>
    <col min="2" max="2" width="6.69140625" bestFit="1" customWidth="1"/>
    <col min="3" max="3" width="11" bestFit="1" customWidth="1"/>
    <col min="4" max="4" width="29.69140625" bestFit="1" customWidth="1"/>
    <col min="5" max="5" width="45.53515625" bestFit="1" customWidth="1"/>
    <col min="6" max="6" width="30.53515625" bestFit="1" customWidth="1"/>
    <col min="7" max="7" width="11.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20336</v>
      </c>
      <c r="B4" s="11">
        <f>VLOOKUP(A4,'Project Status'!C:D,2,FALSE)</f>
        <v>20075</v>
      </c>
      <c r="C4" s="11" t="str">
        <f>VLOOKUP(A4,'Project Status'!C:E,3,FALSE)</f>
        <v>CP_400056</v>
      </c>
      <c r="D4" s="11" t="str">
        <f>VLOOKUP(A4,'Project Status'!C:F,4,FALSE)</f>
        <v>13000 - Blair: Office of the Dean</v>
      </c>
      <c r="E4" s="11" t="str">
        <f>VLOOKUP(A4,'Project Status'!C:I,7,FALSE)</f>
        <v>Blair School of Music - Elevator #3 Modernization</v>
      </c>
      <c r="F4" s="11" t="str">
        <f>VLOOKUP(A4,'Project Status'!C:J,8,FALSE)</f>
        <v>Warranty or Construction Closeout</v>
      </c>
      <c r="G4" s="11" t="str">
        <f>VLOOKUP(A4,'Project Status'!C:K,9,FALSE)</f>
        <v>Ben Bedock</v>
      </c>
      <c r="H4" s="42">
        <f>VLOOKUP(A4,'Project Status'!C:M,11,FALSE)</f>
        <v>327890</v>
      </c>
    </row>
    <row r="8" spans="1:11" x14ac:dyDescent="0.4">
      <c r="E8" s="43" t="s">
        <v>126</v>
      </c>
    </row>
    <row r="9" spans="1:11" x14ac:dyDescent="0.4">
      <c r="E9" s="22" t="s">
        <v>168</v>
      </c>
      <c r="F9" s="35" t="s">
        <v>141</v>
      </c>
      <c r="H9" s="44">
        <v>12900</v>
      </c>
    </row>
    <row r="10" spans="1:11" x14ac:dyDescent="0.4">
      <c r="E10" s="22" t="s">
        <v>168</v>
      </c>
      <c r="F10" t="s">
        <v>148</v>
      </c>
      <c r="H10" s="45">
        <v>2200</v>
      </c>
    </row>
    <row r="11" spans="1:11" x14ac:dyDescent="0.4">
      <c r="E11" s="22" t="s">
        <v>219</v>
      </c>
      <c r="F11" t="s">
        <v>177</v>
      </c>
      <c r="H11" s="45">
        <v>312790</v>
      </c>
    </row>
    <row r="18" spans="5:8" x14ac:dyDescent="0.4">
      <c r="E18" s="163" t="s">
        <v>280</v>
      </c>
      <c r="F18" s="164"/>
      <c r="G18" s="163"/>
      <c r="H18" s="165">
        <f>SUM(H9:H17)</f>
        <v>327890</v>
      </c>
    </row>
    <row r="20" spans="5:8" x14ac:dyDescent="0.4">
      <c r="E20" s="166" t="s">
        <v>138</v>
      </c>
      <c r="F20" s="166"/>
      <c r="G20" s="166"/>
      <c r="H20" s="167">
        <f>H4-H18</f>
        <v>0</v>
      </c>
    </row>
  </sheetData>
  <hyperlinks>
    <hyperlink ref="K1" location="'Project Status'!A1" display="'Project Status'!A1" xr:uid="{2DD23A45-EA4E-4CC3-99A3-228E548F4DA6}"/>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88A8-AE00-488C-BF4D-AFD29D618018}">
  <sheetPr>
    <tabColor theme="4"/>
  </sheetPr>
  <dimension ref="A1:L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61.3046875" bestFit="1" customWidth="1"/>
    <col min="6" max="6" width="12.3828125" bestFit="1" customWidth="1"/>
    <col min="7" max="7" width="11" bestFit="1" customWidth="1"/>
    <col min="8" max="8" width="16.53515625" bestFit="1" customWidth="1"/>
    <col min="10" max="12" width="12.15234375" bestFit="1" customWidth="1"/>
  </cols>
  <sheetData>
    <row r="1" spans="1:12" x14ac:dyDescent="0.4">
      <c r="K1" s="169" t="s">
        <v>285</v>
      </c>
    </row>
    <row r="3" spans="1:12" x14ac:dyDescent="0.4">
      <c r="A3" s="39" t="s">
        <v>127</v>
      </c>
      <c r="B3" s="38" t="s">
        <v>128</v>
      </c>
      <c r="C3" s="39" t="s">
        <v>129</v>
      </c>
      <c r="D3" s="40" t="s">
        <v>86</v>
      </c>
      <c r="E3" s="40" t="s">
        <v>87</v>
      </c>
      <c r="F3" s="39" t="s">
        <v>130</v>
      </c>
      <c r="G3" s="39" t="s">
        <v>131</v>
      </c>
      <c r="H3" s="41" t="s">
        <v>132</v>
      </c>
    </row>
    <row r="4" spans="1:12" x14ac:dyDescent="0.4">
      <c r="A4" s="11">
        <v>20431</v>
      </c>
      <c r="B4" s="11">
        <f>VLOOKUP(A4,'Project Status'!C:D,2,FALSE)</f>
        <v>8084</v>
      </c>
      <c r="C4" s="11" t="str">
        <f>VLOOKUP(A4,'Project Status'!C:E,3,FALSE)</f>
        <v>CP_400108</v>
      </c>
      <c r="D4" s="11" t="str">
        <f>VLOOKUP(A4,'Project Status'!C:F,4,FALSE)</f>
        <v>14000 - Divinity: Office of the Dean</v>
      </c>
      <c r="E4" s="11" t="str">
        <f>VLOOKUP(A4,'Project Status'!C:I,7,FALSE)</f>
        <v>Divinity - AHU 5N (5 &amp; 6) Replacement</v>
      </c>
      <c r="F4" s="11" t="str">
        <f>VLOOKUP(A4,'Project Status'!C:J,8,FALSE)</f>
        <v>Construction</v>
      </c>
      <c r="G4" s="11" t="str">
        <f>VLOOKUP(A4,'Project Status'!C:K,9,FALSE)</f>
        <v>Hans Mooy</v>
      </c>
      <c r="H4" s="42">
        <f>VLOOKUP(A4,'Project Status'!C:M,11,FALSE)</f>
        <v>139640</v>
      </c>
    </row>
    <row r="5" spans="1:12" x14ac:dyDescent="0.4">
      <c r="H5" s="44"/>
    </row>
    <row r="6" spans="1:12" x14ac:dyDescent="0.4">
      <c r="H6" s="44"/>
      <c r="J6" s="79">
        <v>0.75</v>
      </c>
      <c r="K6" s="79">
        <v>0.25</v>
      </c>
    </row>
    <row r="7" spans="1:12" ht="15" thickBot="1" x14ac:dyDescent="0.45">
      <c r="H7" s="44"/>
      <c r="J7" s="80" t="s">
        <v>182</v>
      </c>
      <c r="K7" s="80" t="s">
        <v>183</v>
      </c>
    </row>
    <row r="8" spans="1:12" x14ac:dyDescent="0.4">
      <c r="E8" s="43" t="s">
        <v>126</v>
      </c>
      <c r="H8" s="44"/>
    </row>
    <row r="9" spans="1:12" x14ac:dyDescent="0.4">
      <c r="E9" s="34" t="s">
        <v>184</v>
      </c>
      <c r="H9" s="76">
        <f>39900+3000+3590</f>
        <v>46490</v>
      </c>
      <c r="J9" s="45"/>
      <c r="K9" s="45"/>
    </row>
    <row r="10" spans="1:12" x14ac:dyDescent="0.4">
      <c r="E10" s="22" t="s">
        <v>178</v>
      </c>
      <c r="F10" t="s">
        <v>177</v>
      </c>
      <c r="H10" s="44">
        <f>J10</f>
        <v>937.5</v>
      </c>
      <c r="I10" s="79"/>
      <c r="J10" s="45">
        <f>L10*J6</f>
        <v>937.5</v>
      </c>
      <c r="K10" s="45">
        <f>L10*K6</f>
        <v>312.5</v>
      </c>
      <c r="L10" s="75">
        <v>1250</v>
      </c>
    </row>
    <row r="11" spans="1:12" x14ac:dyDescent="0.4">
      <c r="E11" s="22" t="s">
        <v>178</v>
      </c>
      <c r="F11" s="35" t="s">
        <v>175</v>
      </c>
      <c r="H11" s="44">
        <f>J11</f>
        <v>61425</v>
      </c>
      <c r="J11" s="45">
        <f>L11*J6</f>
        <v>61425</v>
      </c>
      <c r="K11" s="45">
        <f>L11*K6</f>
        <v>20475</v>
      </c>
      <c r="L11" s="75">
        <v>81900</v>
      </c>
    </row>
    <row r="12" spans="1:12" x14ac:dyDescent="0.4">
      <c r="E12" s="34" t="s">
        <v>185</v>
      </c>
      <c r="F12" s="35"/>
      <c r="H12" s="76">
        <f>K10+K11</f>
        <v>20787.5</v>
      </c>
      <c r="J12" s="45"/>
      <c r="K12" s="45"/>
    </row>
    <row r="13" spans="1:12" x14ac:dyDescent="0.4">
      <c r="E13" s="22" t="s">
        <v>230</v>
      </c>
      <c r="F13" t="s">
        <v>225</v>
      </c>
      <c r="H13" s="112">
        <f>J13</f>
        <v>7500</v>
      </c>
      <c r="J13" s="45">
        <f>L13*J6</f>
        <v>7500</v>
      </c>
      <c r="K13" s="45">
        <f>L13*K6</f>
        <v>2500</v>
      </c>
      <c r="L13" s="75">
        <v>10000</v>
      </c>
    </row>
    <row r="14" spans="1:12" x14ac:dyDescent="0.4">
      <c r="E14" s="34" t="s">
        <v>231</v>
      </c>
      <c r="H14" s="110">
        <f>K13</f>
        <v>2500</v>
      </c>
      <c r="J14" s="45"/>
      <c r="K14" s="45"/>
    </row>
    <row r="15" spans="1:12" x14ac:dyDescent="0.4">
      <c r="H15" s="46">
        <f>SUM(H9:H14)</f>
        <v>139640</v>
      </c>
    </row>
    <row r="17" spans="5:8" x14ac:dyDescent="0.4">
      <c r="F17" s="10"/>
      <c r="G17" s="10"/>
      <c r="H17" s="78"/>
    </row>
    <row r="18" spans="5:8" x14ac:dyDescent="0.4">
      <c r="E18" s="163" t="s">
        <v>280</v>
      </c>
      <c r="F18" s="164"/>
      <c r="G18" s="163"/>
      <c r="H18" s="165">
        <f>H10+H11+H13</f>
        <v>69862.5</v>
      </c>
    </row>
    <row r="20" spans="5:8" x14ac:dyDescent="0.4">
      <c r="E20" s="166" t="s">
        <v>138</v>
      </c>
      <c r="F20" s="166"/>
      <c r="G20" s="166"/>
      <c r="H20" s="167">
        <f>H4-H15</f>
        <v>0</v>
      </c>
    </row>
  </sheetData>
  <hyperlinks>
    <hyperlink ref="K1" location="'Project Status'!A1" display="'Project Status'!A1" xr:uid="{CDA93EF8-EDAF-40B0-9E35-101AB4694D4A}"/>
  </hyperlinks>
  <pageMargins left="0.7" right="0.7" top="0.75" bottom="0.75" header="0.3" footer="0.3"/>
  <pageSetup paperSize="5" scale="85"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DA62-22D7-44EF-A36D-7DC7A5C83653}">
  <sheetPr>
    <tabColor theme="4"/>
  </sheetPr>
  <dimension ref="A1:L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51.53515625" bestFit="1" customWidth="1"/>
    <col min="6" max="6" width="7.69140625" bestFit="1" customWidth="1"/>
    <col min="7" max="7" width="13.3046875" bestFit="1" customWidth="1"/>
    <col min="8" max="8" width="16.53515625" bestFit="1" customWidth="1"/>
    <col min="10" max="12" width="15" bestFit="1" customWidth="1"/>
  </cols>
  <sheetData>
    <row r="1" spans="1:12" x14ac:dyDescent="0.4">
      <c r="K1" s="169" t="s">
        <v>285</v>
      </c>
    </row>
    <row r="3" spans="1:12" x14ac:dyDescent="0.4">
      <c r="A3" s="39" t="s">
        <v>127</v>
      </c>
      <c r="B3" s="38" t="s">
        <v>128</v>
      </c>
      <c r="C3" s="39" t="s">
        <v>129</v>
      </c>
      <c r="D3" s="40" t="s">
        <v>86</v>
      </c>
      <c r="E3" s="40" t="s">
        <v>87</v>
      </c>
      <c r="F3" s="39" t="s">
        <v>130</v>
      </c>
      <c r="G3" s="39" t="s">
        <v>131</v>
      </c>
      <c r="H3" s="41" t="s">
        <v>132</v>
      </c>
    </row>
    <row r="4" spans="1:12" x14ac:dyDescent="0.4">
      <c r="A4" s="11">
        <v>20478</v>
      </c>
      <c r="B4" s="11">
        <f>VLOOKUP(A4,'Project Status'!C:D,2,FALSE)</f>
        <v>8672</v>
      </c>
      <c r="C4" s="11" t="str">
        <f>VLOOKUP(A4,'Project Status'!C:E,3,FALSE)</f>
        <v>CP_400182</v>
      </c>
      <c r="D4" s="11" t="str">
        <f>VLOOKUP(A4,'Project Status'!C:F,4,FALSE)</f>
        <v>12000 - Arts and Science: Office of the Dean</v>
      </c>
      <c r="E4" s="11" t="str">
        <f>VLOOKUP(A4,'Project Status'!C:I,7,FALSE)</f>
        <v>Bryan Building - Swing Space Renovation - A&amp;S Planning</v>
      </c>
      <c r="F4" s="11" t="str">
        <f>VLOOKUP(A4,'Project Status'!C:J,8,FALSE)</f>
        <v>Construction</v>
      </c>
      <c r="G4" s="11" t="str">
        <f>VLOOKUP(A4,'Project Status'!C:K,9,FALSE)</f>
        <v>Cathy Bartlett</v>
      </c>
      <c r="H4" s="42">
        <f>VLOOKUP(A4,'Project Status'!C:M,11,FALSE)</f>
        <v>2790000</v>
      </c>
    </row>
    <row r="5" spans="1:12" x14ac:dyDescent="0.4">
      <c r="H5" s="44"/>
    </row>
    <row r="6" spans="1:12" x14ac:dyDescent="0.4">
      <c r="H6" s="44"/>
      <c r="J6" s="79"/>
      <c r="K6" s="79"/>
    </row>
    <row r="7" spans="1:12" ht="15" thickBot="1" x14ac:dyDescent="0.45">
      <c r="H7" s="44"/>
      <c r="J7" s="80" t="s">
        <v>182</v>
      </c>
      <c r="K7" s="80" t="s">
        <v>122</v>
      </c>
    </row>
    <row r="8" spans="1:12" x14ac:dyDescent="0.4">
      <c r="E8" s="43" t="s">
        <v>126</v>
      </c>
      <c r="H8" s="44"/>
    </row>
    <row r="9" spans="1:12" x14ac:dyDescent="0.4">
      <c r="E9" t="s">
        <v>244</v>
      </c>
      <c r="F9" t="s">
        <v>141</v>
      </c>
      <c r="H9" s="44">
        <f>J9</f>
        <v>12100</v>
      </c>
      <c r="J9" s="45">
        <v>12100</v>
      </c>
      <c r="K9" s="45">
        <v>6900</v>
      </c>
      <c r="L9" s="75">
        <v>19000</v>
      </c>
    </row>
    <row r="10" spans="1:12" x14ac:dyDescent="0.4">
      <c r="E10" s="34" t="s">
        <v>245</v>
      </c>
      <c r="F10" s="35"/>
      <c r="H10" s="76">
        <f>K9</f>
        <v>6900</v>
      </c>
      <c r="I10" s="79"/>
      <c r="J10" s="45"/>
      <c r="K10" s="45"/>
    </row>
    <row r="11" spans="1:12" x14ac:dyDescent="0.4">
      <c r="E11" s="175" t="s">
        <v>281</v>
      </c>
      <c r="F11" t="s">
        <v>218</v>
      </c>
      <c r="H11" s="44">
        <v>69000</v>
      </c>
      <c r="J11" s="45">
        <v>69000</v>
      </c>
      <c r="K11" s="45">
        <v>32500</v>
      </c>
      <c r="L11" s="75">
        <v>101500</v>
      </c>
    </row>
    <row r="12" spans="1:12" x14ac:dyDescent="0.4">
      <c r="E12" s="34" t="s">
        <v>245</v>
      </c>
      <c r="H12" s="110">
        <v>32500</v>
      </c>
      <c r="J12" s="45"/>
      <c r="K12" s="45"/>
    </row>
    <row r="13" spans="1:12" x14ac:dyDescent="0.4">
      <c r="E13" s="175" t="s">
        <v>345</v>
      </c>
      <c r="F13" t="s">
        <v>148</v>
      </c>
      <c r="H13" s="112">
        <f>SUM(1110000-H11-H9)</f>
        <v>1028900</v>
      </c>
      <c r="J13" s="44">
        <v>1028900</v>
      </c>
      <c r="K13" s="44">
        <v>1640600</v>
      </c>
      <c r="L13" s="75">
        <f>SUM(J13:K13)</f>
        <v>2669500</v>
      </c>
    </row>
    <row r="14" spans="1:12" x14ac:dyDescent="0.4">
      <c r="E14" s="34" t="s">
        <v>300</v>
      </c>
      <c r="H14" s="110">
        <f>SUM(1680000-H12-H10)</f>
        <v>1640600</v>
      </c>
      <c r="J14" s="45"/>
      <c r="K14" s="45"/>
    </row>
    <row r="15" spans="1:12" x14ac:dyDescent="0.4">
      <c r="F15" s="10"/>
      <c r="G15" s="10"/>
      <c r="H15" s="110"/>
    </row>
    <row r="16" spans="1:12" x14ac:dyDescent="0.4">
      <c r="H16" s="46">
        <f>SUM(H9:H14)</f>
        <v>2790000</v>
      </c>
    </row>
    <row r="18" spans="5:8" x14ac:dyDescent="0.4">
      <c r="E18" s="163" t="s">
        <v>280</v>
      </c>
      <c r="F18" s="164"/>
      <c r="G18" s="163"/>
      <c r="H18" s="165">
        <f>H9+H11+H13</f>
        <v>1110000</v>
      </c>
    </row>
    <row r="20" spans="5:8" x14ac:dyDescent="0.4">
      <c r="E20" s="166" t="s">
        <v>138</v>
      </c>
      <c r="F20" s="166"/>
      <c r="G20" s="166"/>
      <c r="H20" s="167">
        <f>H4-H16</f>
        <v>0</v>
      </c>
    </row>
  </sheetData>
  <hyperlinks>
    <hyperlink ref="K1" location="'Project Status'!A1" display="'Project Status'!A1" xr:uid="{2B2C41BE-F208-47B4-9337-E73C3D59FDAF}"/>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5749-E7D8-4D24-8193-D273A52FE892}">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46" bestFit="1" customWidth="1"/>
    <col min="6" max="6" width="7" bestFit="1" customWidth="1"/>
    <col min="7" max="7" width="11" bestFit="1" customWidth="1"/>
    <col min="8" max="8" width="16.53515625" bestFit="1" customWidth="1"/>
    <col min="10" max="12" width="11.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20489</v>
      </c>
      <c r="B4" s="11">
        <f>VLOOKUP(A4,'Project Status'!C:D,2,FALSE)</f>
        <v>8051</v>
      </c>
      <c r="C4" s="11" t="str">
        <f>VLOOKUP(A4,'Project Status'!C:E,3,FALSE)</f>
        <v>CP_400183</v>
      </c>
      <c r="D4" s="11" t="str">
        <f>VLOOKUP(A4,'Project Status'!C:F,4,FALSE)</f>
        <v>14000 - Divinity: Office of the Dean</v>
      </c>
      <c r="E4" s="11" t="str">
        <f>VLOOKUP(A4,'Project Status'!C:I,7,FALSE)</f>
        <v>Divinity - AHU 1N (1&amp;3) Replacement with Benton</v>
      </c>
      <c r="F4" s="11" t="str">
        <f>VLOOKUP(A4,'Project Status'!C:J,8,FALSE)</f>
        <v>Design</v>
      </c>
      <c r="G4" s="11" t="str">
        <f>VLOOKUP(A4,'Project Status'!C:K,9,FALSE)</f>
        <v>Hans Mooy</v>
      </c>
      <c r="H4" s="42">
        <f>VLOOKUP(A4,'Project Status'!C:M,11,FALSE)</f>
        <v>26500</v>
      </c>
    </row>
    <row r="5" spans="1:11" x14ac:dyDescent="0.4">
      <c r="H5" s="44"/>
    </row>
    <row r="6" spans="1:11" x14ac:dyDescent="0.4">
      <c r="H6" s="44"/>
      <c r="J6" s="79"/>
      <c r="K6" s="79"/>
    </row>
    <row r="7" spans="1:11" x14ac:dyDescent="0.4">
      <c r="H7" s="44"/>
    </row>
    <row r="8" spans="1:11" x14ac:dyDescent="0.4">
      <c r="E8" s="43" t="s">
        <v>126</v>
      </c>
      <c r="H8" s="44"/>
    </row>
    <row r="9" spans="1:11" x14ac:dyDescent="0.4">
      <c r="E9" t="s">
        <v>244</v>
      </c>
      <c r="F9" t="s">
        <v>141</v>
      </c>
      <c r="H9" s="44">
        <v>26500</v>
      </c>
    </row>
    <row r="10" spans="1:11" x14ac:dyDescent="0.4">
      <c r="E10" s="22"/>
      <c r="F10" s="35"/>
      <c r="H10" s="44"/>
    </row>
    <row r="11" spans="1:11" x14ac:dyDescent="0.4">
      <c r="E11" s="34"/>
      <c r="F11" s="34"/>
      <c r="G11" s="34"/>
      <c r="H11" s="34"/>
      <c r="I11" s="34"/>
    </row>
    <row r="12" spans="1:11" x14ac:dyDescent="0.4">
      <c r="E12" s="22"/>
      <c r="F12" s="22"/>
      <c r="G12" s="22"/>
      <c r="H12" s="22"/>
      <c r="I12" s="22"/>
    </row>
    <row r="13" spans="1:11" x14ac:dyDescent="0.4">
      <c r="E13" s="34"/>
      <c r="F13" s="34"/>
      <c r="G13" s="34"/>
      <c r="H13" s="34"/>
      <c r="I13" s="34"/>
    </row>
    <row r="14" spans="1:11" x14ac:dyDescent="0.4">
      <c r="J14" s="45"/>
      <c r="K14" s="45"/>
    </row>
    <row r="18" spans="5:8" x14ac:dyDescent="0.4">
      <c r="E18" s="163" t="s">
        <v>280</v>
      </c>
      <c r="F18" s="164"/>
      <c r="G18" s="163"/>
      <c r="H18" s="165">
        <f>SUM(H9:H17)</f>
        <v>26500</v>
      </c>
    </row>
    <row r="20" spans="5:8" x14ac:dyDescent="0.4">
      <c r="E20" s="166" t="s">
        <v>138</v>
      </c>
      <c r="F20" s="166"/>
      <c r="G20" s="166"/>
      <c r="H20" s="167">
        <f>H4-H18</f>
        <v>0</v>
      </c>
    </row>
  </sheetData>
  <hyperlinks>
    <hyperlink ref="K1" location="'Project Status'!A1" display="'Project Status'!A1" xr:uid="{83EE5C0E-27A0-4A9C-BCE2-8E4412DE4189}"/>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66A-8677-48E9-9015-6859C503EEA1}">
  <sheetPr>
    <tabColor theme="8"/>
    <pageSetUpPr fitToPage="1"/>
  </sheetPr>
  <dimension ref="A1:K20"/>
  <sheetViews>
    <sheetView zoomScale="90" zoomScaleNormal="90" workbookViewId="0">
      <selection activeCell="K1" sqref="K1"/>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32.84375" bestFit="1" customWidth="1"/>
    <col min="6" max="6" width="30.53515625" bestFit="1" customWidth="1"/>
    <col min="7" max="7" width="11.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20497</v>
      </c>
      <c r="B4" s="11">
        <f>VLOOKUP(A4,'Project Status'!C:D,2,FALSE)</f>
        <v>529</v>
      </c>
      <c r="C4" s="11" t="str">
        <f>VLOOKUP(A4,'Project Status'!C:E,3,FALSE)</f>
        <v>CP_400127</v>
      </c>
      <c r="D4" s="11" t="str">
        <f>VLOOKUP(A4,'Project Status'!C:F,4,FALSE)</f>
        <v>21000 - Peabody College: Office of the Dean</v>
      </c>
      <c r="E4" s="11" t="str">
        <f>VLOOKUP(A4,'Project Status'!C:I,7,FALSE)</f>
        <v>Jesup - Roof Replacement</v>
      </c>
      <c r="F4" s="11" t="str">
        <f>VLOOKUP(A4,'Project Status'!C:J,8,FALSE)</f>
        <v>Warranty or Construction Closeout</v>
      </c>
      <c r="G4" s="11" t="str">
        <f>VLOOKUP(A4,'Project Status'!C:K,9,FALSE)</f>
        <v>Ben Bedock</v>
      </c>
      <c r="H4" s="42">
        <f>VLOOKUP(A4,'Project Status'!C:M,11,FALSE)</f>
        <v>456850</v>
      </c>
    </row>
    <row r="8" spans="1:11" x14ac:dyDescent="0.4">
      <c r="E8" s="43" t="s">
        <v>126</v>
      </c>
    </row>
    <row r="9" spans="1:11" x14ac:dyDescent="0.4">
      <c r="E9" s="22" t="s">
        <v>136</v>
      </c>
      <c r="F9" s="35">
        <v>44769</v>
      </c>
      <c r="H9" s="44">
        <v>79415.5</v>
      </c>
    </row>
    <row r="10" spans="1:11" x14ac:dyDescent="0.4">
      <c r="E10" s="34" t="s">
        <v>139</v>
      </c>
      <c r="F10" s="20"/>
      <c r="G10" s="20"/>
      <c r="H10" s="81">
        <f>372434.5+5000</f>
        <v>377434.5</v>
      </c>
    </row>
    <row r="11" spans="1:11" x14ac:dyDescent="0.4">
      <c r="H11" s="46">
        <f>SUM(H9:H10)</f>
        <v>456850</v>
      </c>
    </row>
    <row r="13" spans="1:11" x14ac:dyDescent="0.4">
      <c r="F13" s="10"/>
      <c r="G13" s="10"/>
      <c r="H13" s="47"/>
    </row>
    <row r="18" spans="5:8" x14ac:dyDescent="0.4">
      <c r="E18" s="163" t="s">
        <v>280</v>
      </c>
      <c r="F18" s="164"/>
      <c r="G18" s="163"/>
      <c r="H18" s="165">
        <f>H9</f>
        <v>79415.5</v>
      </c>
    </row>
    <row r="20" spans="5:8" x14ac:dyDescent="0.4">
      <c r="E20" s="166" t="s">
        <v>138</v>
      </c>
      <c r="F20" s="166"/>
      <c r="G20" s="166"/>
      <c r="H20" s="167">
        <f>H4-H11</f>
        <v>0</v>
      </c>
    </row>
  </sheetData>
  <hyperlinks>
    <hyperlink ref="K1" location="'Project Status'!A1" display="'Project Status'!A1" xr:uid="{442995CA-F49C-4890-9FF0-75DAB9A467F0}"/>
  </hyperlinks>
  <pageMargins left="0.7" right="0.7" top="0.75" bottom="0.75" header="0.3" footer="0.3"/>
  <pageSetup scale="6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1411-66F9-46BD-B491-CE4D2BDFCD99}">
  <sheetPr>
    <tabColor theme="8"/>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4.69140625" bestFit="1" customWidth="1"/>
    <col min="6" max="6" width="30.53515625" bestFit="1" customWidth="1"/>
    <col min="7" max="7" width="11.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20506</v>
      </c>
      <c r="B4" s="11">
        <f>VLOOKUP(A4,'Project Status'!C:D,2,FALSE)</f>
        <v>1170</v>
      </c>
      <c r="C4" s="11" t="str">
        <f>VLOOKUP(A4,'Project Status'!C:E,3,FALSE)</f>
        <v>CP_400192</v>
      </c>
      <c r="D4" s="11" t="str">
        <f>VLOOKUP(A4,'Project Status'!C:F,4,FALSE)</f>
        <v>21000 - Peabody College: Office of the Dean</v>
      </c>
      <c r="E4" s="11" t="str">
        <f>VLOOKUP(A4,'Project Status'!C:I,7,FALSE)</f>
        <v>Wyatt Center - Window Replacement</v>
      </c>
      <c r="F4" s="11" t="str">
        <f>VLOOKUP(A4,'Project Status'!C:J,8,FALSE)</f>
        <v>Warranty or Construction Closeout</v>
      </c>
      <c r="G4" s="11" t="str">
        <f>VLOOKUP(A4,'Project Status'!C:K,9,FALSE)</f>
        <v>Ben Bedock</v>
      </c>
      <c r="H4" s="100">
        <f>VLOOKUP(A4,'Project Status'!C:M,11,FALSE)</f>
        <v>344155.26</v>
      </c>
    </row>
    <row r="8" spans="1:11" x14ac:dyDescent="0.4">
      <c r="E8" s="43" t="s">
        <v>126</v>
      </c>
    </row>
    <row r="9" spans="1:11" x14ac:dyDescent="0.4">
      <c r="E9" s="168" t="s">
        <v>281</v>
      </c>
      <c r="F9" s="35" t="s">
        <v>141</v>
      </c>
      <c r="H9" s="44">
        <v>344155.26</v>
      </c>
    </row>
    <row r="13" spans="1:11" x14ac:dyDescent="0.4">
      <c r="F13" s="10"/>
      <c r="G13" s="10"/>
      <c r="H13" s="47"/>
    </row>
    <row r="18" spans="5:8" x14ac:dyDescent="0.4">
      <c r="E18" s="163" t="s">
        <v>280</v>
      </c>
      <c r="F18" s="164"/>
      <c r="G18" s="163"/>
      <c r="H18" s="165">
        <f>SUM(H9:H17)</f>
        <v>344155.26</v>
      </c>
    </row>
    <row r="20" spans="5:8" x14ac:dyDescent="0.4">
      <c r="E20" s="166" t="s">
        <v>138</v>
      </c>
      <c r="F20" s="166"/>
      <c r="G20" s="166"/>
      <c r="H20" s="167">
        <f>H4-H18</f>
        <v>0</v>
      </c>
    </row>
  </sheetData>
  <hyperlinks>
    <hyperlink ref="K1" location="'Project Status'!A1" display="'Project Status'!A1" xr:uid="{6B2AECA2-CEB3-47AB-8FFB-58AED0692E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370-9E61-4D0F-94A0-75F0647B3E24}">
  <sheetPr>
    <tabColor theme="0" tint="-0.499984740745262"/>
  </sheetPr>
  <dimension ref="A1:H32"/>
  <sheetViews>
    <sheetView zoomScaleNormal="100" workbookViewId="0">
      <selection activeCell="B2" sqref="B2"/>
    </sheetView>
  </sheetViews>
  <sheetFormatPr defaultRowHeight="14.6" x14ac:dyDescent="0.4"/>
  <cols>
    <col min="1" max="1" width="19.84375" customWidth="1"/>
    <col min="2" max="2" width="12.53515625" customWidth="1"/>
    <col min="3" max="5" width="14.3046875" customWidth="1"/>
  </cols>
  <sheetData>
    <row r="1" spans="1:8" s="8" customFormat="1" x14ac:dyDescent="0.4">
      <c r="A1" s="10" t="s">
        <v>193</v>
      </c>
      <c r="B1"/>
      <c r="C1"/>
      <c r="D1"/>
      <c r="E1"/>
    </row>
    <row r="2" spans="1:8" s="8" customFormat="1" x14ac:dyDescent="0.4">
      <c r="A2" s="96" t="s">
        <v>112</v>
      </c>
      <c r="B2" s="95">
        <v>45175</v>
      </c>
      <c r="C2"/>
      <c r="D2"/>
      <c r="E2"/>
    </row>
    <row r="4" spans="1:8" x14ac:dyDescent="0.4">
      <c r="A4" s="10" t="s">
        <v>234</v>
      </c>
      <c r="D4" s="70" t="s">
        <v>172</v>
      </c>
    </row>
    <row r="5" spans="1:8" ht="29.15" x14ac:dyDescent="0.4">
      <c r="A5" s="23" t="s">
        <v>86</v>
      </c>
      <c r="B5" s="66" t="s">
        <v>99</v>
      </c>
      <c r="C5" s="24" t="s">
        <v>88</v>
      </c>
      <c r="D5" s="29" t="s">
        <v>328</v>
      </c>
      <c r="E5" s="30" t="s">
        <v>254</v>
      </c>
    </row>
    <row r="6" spans="1:8" x14ac:dyDescent="0.4">
      <c r="A6" t="s">
        <v>198</v>
      </c>
      <c r="B6" s="21">
        <f>Contributions!B5</f>
        <v>1075461.7320675128</v>
      </c>
      <c r="C6" s="58">
        <f>'Shared Building Allocation'!C5*1000000</f>
        <v>3663826</v>
      </c>
      <c r="D6" s="59">
        <f>'Shared Building Allocation'!F5*1000000</f>
        <v>2276289.625</v>
      </c>
      <c r="E6" s="60">
        <f>C6-D6</f>
        <v>1387536.375</v>
      </c>
      <c r="H6" s="27"/>
    </row>
    <row r="7" spans="1:8" x14ac:dyDescent="0.4">
      <c r="A7" t="s">
        <v>200</v>
      </c>
      <c r="B7" s="21">
        <f>Contributions!B6</f>
        <v>121421.42689276834</v>
      </c>
      <c r="C7" s="67">
        <f>'Shared Building Allocation'!C6*1000000</f>
        <v>413652</v>
      </c>
      <c r="D7" s="68">
        <f>'Shared Building Allocation'!F6*1000000</f>
        <v>574290</v>
      </c>
      <c r="E7" s="69">
        <f t="shared" ref="E7:E14" si="0">C7-D7</f>
        <v>-160638</v>
      </c>
      <c r="H7" s="27"/>
    </row>
    <row r="8" spans="1:8" x14ac:dyDescent="0.4">
      <c r="A8" t="s">
        <v>201</v>
      </c>
      <c r="B8" s="21">
        <f>Contributions!B7</f>
        <v>57814.730923479161</v>
      </c>
      <c r="C8" s="67">
        <f>'Shared Building Allocation'!C7*1000000</f>
        <v>196960</v>
      </c>
      <c r="D8" s="68">
        <f>'Shared Building Allocation'!F7*1000000</f>
        <v>96362.5</v>
      </c>
      <c r="E8" s="69">
        <f t="shared" si="0"/>
        <v>100597.5</v>
      </c>
      <c r="H8" s="27"/>
    </row>
    <row r="9" spans="1:8" x14ac:dyDescent="0.4">
      <c r="A9" t="s">
        <v>202</v>
      </c>
      <c r="B9" s="21">
        <f>Contributions!B8</f>
        <v>537962.332719445</v>
      </c>
      <c r="C9" s="67">
        <f>'Shared Building Allocation'!C8*1000000</f>
        <v>1832701</v>
      </c>
      <c r="D9" s="68">
        <f>'Shared Building Allocation'!F8*1000000</f>
        <v>353000</v>
      </c>
      <c r="E9" s="69">
        <f t="shared" si="0"/>
        <v>1479701</v>
      </c>
      <c r="H9" s="27"/>
    </row>
    <row r="10" spans="1:8" x14ac:dyDescent="0.4">
      <c r="A10" t="s">
        <v>203</v>
      </c>
      <c r="B10" s="21">
        <f>Contributions!B9</f>
        <v>120155.48460329951</v>
      </c>
      <c r="C10" s="67">
        <f>'Shared Building Allocation'!C9*1000000</f>
        <v>409339</v>
      </c>
      <c r="D10" s="68">
        <f>'Shared Building Allocation'!F9*1000000</f>
        <v>1206134.5</v>
      </c>
      <c r="E10" s="69">
        <f t="shared" si="0"/>
        <v>-796795.5</v>
      </c>
      <c r="H10" s="27"/>
    </row>
    <row r="11" spans="1:8" x14ac:dyDescent="0.4">
      <c r="A11" t="s">
        <v>205</v>
      </c>
      <c r="B11" s="21">
        <f>Contributions!B10</f>
        <v>280022.39987629937</v>
      </c>
      <c r="C11" s="67">
        <f>'Shared Building Allocation'!C10*1000000</f>
        <v>953965</v>
      </c>
      <c r="D11" s="68">
        <f>'Shared Building Allocation'!F10*1000000</f>
        <v>1036871.8750000001</v>
      </c>
      <c r="E11" s="69">
        <f t="shared" si="0"/>
        <v>-82906.875000000116</v>
      </c>
      <c r="H11" s="27"/>
    </row>
    <row r="12" spans="1:8" x14ac:dyDescent="0.4">
      <c r="A12" t="s">
        <v>204</v>
      </c>
      <c r="B12" s="21">
        <f>Contributions!B11</f>
        <v>106166.70000000001</v>
      </c>
      <c r="C12" s="67">
        <f>'Shared Building Allocation'!C11*1000000</f>
        <v>361683</v>
      </c>
      <c r="D12" s="68">
        <f>'Shared Building Allocation'!F11*1000000</f>
        <v>4900</v>
      </c>
      <c r="E12" s="69">
        <f t="shared" si="0"/>
        <v>356783</v>
      </c>
      <c r="H12" s="27"/>
    </row>
    <row r="13" spans="1:8" x14ac:dyDescent="0.4">
      <c r="A13" t="s">
        <v>199</v>
      </c>
      <c r="B13" s="21">
        <f>Contributions!B12</f>
        <v>59008.361666666671</v>
      </c>
      <c r="C13" s="67">
        <f>'Shared Building Allocation'!C12*1000000</f>
        <v>201027</v>
      </c>
      <c r="D13" s="68">
        <f>'Shared Building Allocation'!F12*1000000</f>
        <v>300000</v>
      </c>
      <c r="E13" s="69">
        <f t="shared" si="0"/>
        <v>-98973</v>
      </c>
      <c r="H13" s="27"/>
    </row>
    <row r="14" spans="1:8" x14ac:dyDescent="0.4">
      <c r="A14" t="s">
        <v>206</v>
      </c>
      <c r="B14" s="21">
        <f>Contributions!B13</f>
        <v>390796.88477064227</v>
      </c>
      <c r="C14" s="67">
        <f>'Shared Building Allocation'!C13*1000000</f>
        <v>1331346</v>
      </c>
      <c r="D14" s="68">
        <f>'Shared Building Allocation'!F13*1000000</f>
        <v>2949437.76</v>
      </c>
      <c r="E14" s="69">
        <f t="shared" si="0"/>
        <v>-1618091.7599999998</v>
      </c>
      <c r="H14" s="27"/>
    </row>
    <row r="15" spans="1:8" x14ac:dyDescent="0.4">
      <c r="A15" s="25"/>
      <c r="B15" s="25">
        <v>2748810.0535201132</v>
      </c>
      <c r="C15" s="64">
        <f>SUM(C6:C14)</f>
        <v>9364499</v>
      </c>
      <c r="D15" s="63">
        <f>SUM(D6:D14)</f>
        <v>8797286.2599999998</v>
      </c>
      <c r="E15" s="62">
        <f>SUM(E6:E14)</f>
        <v>567212.74000000022</v>
      </c>
      <c r="H15" s="27"/>
    </row>
    <row r="16" spans="1:8" x14ac:dyDescent="0.4">
      <c r="A16" s="27"/>
      <c r="H16" s="27"/>
    </row>
    <row r="17" spans="1:8" x14ac:dyDescent="0.4">
      <c r="A17" s="27"/>
      <c r="H17" s="27"/>
    </row>
    <row r="18" spans="1:8" x14ac:dyDescent="0.4">
      <c r="A18" s="27"/>
      <c r="H18" s="27"/>
    </row>
    <row r="19" spans="1:8" s="20" customFormat="1" ht="14.7" customHeight="1" x14ac:dyDescent="0.4">
      <c r="A19" s="10" t="s">
        <v>255</v>
      </c>
      <c r="B19"/>
      <c r="C19"/>
      <c r="D19" s="70" t="s">
        <v>172</v>
      </c>
      <c r="E19"/>
    </row>
    <row r="20" spans="1:8" s="20" customFormat="1" ht="29.15" x14ac:dyDescent="0.4">
      <c r="A20" s="130" t="s">
        <v>86</v>
      </c>
      <c r="B20" s="131" t="s">
        <v>99</v>
      </c>
      <c r="C20" s="132" t="s">
        <v>88</v>
      </c>
      <c r="D20" s="136" t="s">
        <v>253</v>
      </c>
      <c r="E20" s="137" t="s">
        <v>254</v>
      </c>
    </row>
    <row r="21" spans="1:8" s="20" customFormat="1" x14ac:dyDescent="0.4">
      <c r="A21" t="s">
        <v>198</v>
      </c>
      <c r="B21" s="21">
        <f>Contributions!F5</f>
        <v>1059147</v>
      </c>
      <c r="C21" s="135">
        <f>Contributions!G5</f>
        <v>4204813.59</v>
      </c>
      <c r="D21" s="58">
        <f>'Shared Building Allocation'!K5*1000000</f>
        <v>1497725</v>
      </c>
      <c r="E21" s="139">
        <f>C21-D21</f>
        <v>2707088.59</v>
      </c>
    </row>
    <row r="22" spans="1:8" s="20" customFormat="1" x14ac:dyDescent="0.4">
      <c r="A22" t="s">
        <v>200</v>
      </c>
      <c r="B22" s="21">
        <f>Contributions!F6</f>
        <v>121421</v>
      </c>
      <c r="C22" s="135">
        <f>Contributions!G6</f>
        <v>482041.37</v>
      </c>
      <c r="D22" s="67">
        <f>'Shared Building Allocation'!K6*1000000</f>
        <v>1476600</v>
      </c>
      <c r="E22" s="140">
        <f t="shared" ref="E22:E28" si="1">C22-D22</f>
        <v>-994558.63</v>
      </c>
    </row>
    <row r="23" spans="1:8" s="20" customFormat="1" x14ac:dyDescent="0.4">
      <c r="A23" t="s">
        <v>201</v>
      </c>
      <c r="B23" s="21">
        <f>Contributions!F7</f>
        <v>58263</v>
      </c>
      <c r="C23" s="135">
        <f>Contributions!G7</f>
        <v>231304.11000000002</v>
      </c>
      <c r="D23" s="67">
        <f>'Shared Building Allocation'!K7*1000000</f>
        <v>3730137.5</v>
      </c>
      <c r="E23" s="140">
        <f t="shared" si="1"/>
        <v>-3498833.39</v>
      </c>
    </row>
    <row r="24" spans="1:8" s="20" customFormat="1" x14ac:dyDescent="0.4">
      <c r="A24" t="s">
        <v>202</v>
      </c>
      <c r="B24" s="21">
        <f>Contributions!F8</f>
        <v>552478</v>
      </c>
      <c r="C24" s="135">
        <f>Contributions!G8</f>
        <v>2193337.66</v>
      </c>
      <c r="D24" s="67">
        <f>'Shared Building Allocation'!K8*1000000</f>
        <v>70000</v>
      </c>
      <c r="E24" s="140">
        <f t="shared" si="1"/>
        <v>2123337.66</v>
      </c>
    </row>
    <row r="25" spans="1:8" x14ac:dyDescent="0.4">
      <c r="A25" t="s">
        <v>203</v>
      </c>
      <c r="B25" s="21">
        <f>Contributions!F9</f>
        <v>120155</v>
      </c>
      <c r="C25" s="135">
        <f>Contributions!G9</f>
        <v>477015.35000000003</v>
      </c>
      <c r="D25" s="67">
        <f>'Shared Building Allocation'!K9*1000000</f>
        <v>0</v>
      </c>
      <c r="E25" s="140">
        <f t="shared" si="1"/>
        <v>477015.35000000003</v>
      </c>
    </row>
    <row r="26" spans="1:8" x14ac:dyDescent="0.4">
      <c r="A26" t="s">
        <v>205</v>
      </c>
      <c r="B26" s="21">
        <f>Contributions!F10</f>
        <v>265674</v>
      </c>
      <c r="C26" s="135">
        <f>Contributions!G10</f>
        <v>1054725.78</v>
      </c>
      <c r="D26" s="67">
        <f>'Shared Building Allocation'!K10*1000000</f>
        <v>870675</v>
      </c>
      <c r="E26" s="140">
        <f t="shared" si="1"/>
        <v>184050.78000000003</v>
      </c>
    </row>
    <row r="27" spans="1:8" x14ac:dyDescent="0.4">
      <c r="A27" t="s">
        <v>204</v>
      </c>
      <c r="B27" s="21">
        <f>Contributions!F11</f>
        <v>105746</v>
      </c>
      <c r="C27" s="135">
        <f>Contributions!G11</f>
        <v>419811.62</v>
      </c>
      <c r="D27" s="67">
        <f>'Shared Building Allocation'!K11*1000000</f>
        <v>0</v>
      </c>
      <c r="E27" s="140">
        <f t="shared" si="1"/>
        <v>419811.62</v>
      </c>
    </row>
    <row r="28" spans="1:8" x14ac:dyDescent="0.4">
      <c r="A28" t="s">
        <v>199</v>
      </c>
      <c r="B28" s="21">
        <f>Contributions!F12</f>
        <v>99140</v>
      </c>
      <c r="C28" s="135">
        <f>Contributions!G12</f>
        <v>393585.80000000005</v>
      </c>
      <c r="D28" s="67">
        <f>'Shared Building Allocation'!K12*1000000</f>
        <v>0</v>
      </c>
      <c r="E28" s="140">
        <f t="shared" si="1"/>
        <v>393585.80000000005</v>
      </c>
    </row>
    <row r="29" spans="1:8" x14ac:dyDescent="0.4">
      <c r="A29" t="s">
        <v>206</v>
      </c>
      <c r="B29" s="21">
        <f>Contributions!F13</f>
        <v>396133</v>
      </c>
      <c r="C29" s="135">
        <f>Contributions!G13</f>
        <v>1572648.01</v>
      </c>
      <c r="D29" s="67">
        <f>'Shared Building Allocation'!K13*1000000</f>
        <v>35000</v>
      </c>
      <c r="E29" s="140">
        <f>C29-D29</f>
        <v>1537648.01</v>
      </c>
    </row>
    <row r="30" spans="1:8" x14ac:dyDescent="0.4">
      <c r="A30" s="133"/>
      <c r="B30" s="133">
        <v>2748810.0535201132</v>
      </c>
      <c r="C30" s="134">
        <f>SUM(C21:C29)</f>
        <v>11029283.289999999</v>
      </c>
      <c r="D30" s="64">
        <f>SUM(D21:D29)</f>
        <v>7680137.5</v>
      </c>
      <c r="E30" s="138">
        <f>SUM(E21:E29)</f>
        <v>3349145.79</v>
      </c>
    </row>
    <row r="31" spans="1:8" x14ac:dyDescent="0.4">
      <c r="A31" s="20"/>
      <c r="B31" s="20"/>
      <c r="C31" s="209"/>
    </row>
    <row r="32" spans="1:8" x14ac:dyDescent="0.4">
      <c r="C32" s="37"/>
    </row>
  </sheetData>
  <sortState xmlns:xlrd2="http://schemas.microsoft.com/office/spreadsheetml/2017/richdata2" ref="H6:H18">
    <sortCondition ref="H6:H18"/>
  </sortState>
  <pageMargins left="0.7" right="0.7" top="0.75" bottom="0.75" header="0.3" footer="0.3"/>
  <pageSetup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EF5E-B4FA-4E52-9E64-945A930AA128}">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 bestFit="1" customWidth="1"/>
    <col min="6" max="6" width="12.3828125" bestFit="1" customWidth="1"/>
    <col min="7" max="7" width="12.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20562</v>
      </c>
      <c r="B4" s="11">
        <f>VLOOKUP(A4,'Project Status'!C:D,2,FALSE)</f>
        <v>4564</v>
      </c>
      <c r="C4" s="11" t="str">
        <f>VLOOKUP(A4,'Project Status'!C:E,3,FALSE)</f>
        <v>CP_400175</v>
      </c>
      <c r="D4" s="11" t="str">
        <f>VLOOKUP(A4,'Project Status'!C:F,4,FALSE)</f>
        <v>21000 - Peabody College: Office of the Dean</v>
      </c>
      <c r="E4" s="11" t="str">
        <f>VLOOKUP(A4,'Project Status'!C:I,7,FALSE)</f>
        <v>Wyatt Center - VAV Replacement</v>
      </c>
      <c r="F4" s="11" t="str">
        <f>VLOOKUP(A4,'Project Status'!C:J,8,FALSE)</f>
        <v>Construction</v>
      </c>
      <c r="G4" s="11" t="str">
        <f>VLOOKUP(A4,'Project Status'!C:K,9,FALSE)</f>
        <v>Sean Rewers</v>
      </c>
      <c r="H4" s="100">
        <f>VLOOKUP(A4,'Project Status'!C:M,11,FALSE)</f>
        <v>405791</v>
      </c>
    </row>
    <row r="8" spans="1:11" x14ac:dyDescent="0.4">
      <c r="E8" s="43" t="s">
        <v>126</v>
      </c>
    </row>
    <row r="9" spans="1:11" x14ac:dyDescent="0.4">
      <c r="E9" s="22" t="s">
        <v>237</v>
      </c>
      <c r="F9" s="35" t="s">
        <v>141</v>
      </c>
      <c r="H9" s="44">
        <v>405791</v>
      </c>
    </row>
    <row r="13" spans="1:11" x14ac:dyDescent="0.4">
      <c r="F13" s="10"/>
      <c r="G13" s="10"/>
      <c r="H13" s="47"/>
    </row>
    <row r="18" spans="5:8" x14ac:dyDescent="0.4">
      <c r="E18" s="163" t="s">
        <v>280</v>
      </c>
      <c r="F18" s="164"/>
      <c r="G18" s="163"/>
      <c r="H18" s="165">
        <f>SUM(H9:H17)</f>
        <v>405791</v>
      </c>
    </row>
    <row r="20" spans="5:8" x14ac:dyDescent="0.4">
      <c r="E20" s="166" t="s">
        <v>138</v>
      </c>
      <c r="F20" s="166"/>
      <c r="G20" s="166"/>
      <c r="H20" s="167">
        <f>H4-H18</f>
        <v>0</v>
      </c>
    </row>
  </sheetData>
  <hyperlinks>
    <hyperlink ref="K1" location="'Project Status'!A1" display="'Project Status'!A1" xr:uid="{A927072C-3DC7-480C-8A16-E5883B6FDD97}"/>
  </hyperlinks>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DD7D-CD6B-4561-B840-67A69DE644DC}">
  <sheetPr>
    <tabColor theme="8"/>
  </sheetPr>
  <dimension ref="A1:K20"/>
  <sheetViews>
    <sheetView zoomScale="90" zoomScaleNormal="90" workbookViewId="0">
      <selection activeCell="K1" sqref="K1"/>
    </sheetView>
  </sheetViews>
  <sheetFormatPr defaultColWidth="8.15234375" defaultRowHeight="14.6" x14ac:dyDescent="0.4"/>
  <cols>
    <col min="1" max="1" width="8.53515625" bestFit="1" customWidth="1"/>
    <col min="2" max="2" width="6.69140625" bestFit="1" customWidth="1"/>
    <col min="3" max="3" width="11" bestFit="1" customWidth="1"/>
    <col min="4" max="4" width="40.15234375" bestFit="1" customWidth="1"/>
    <col min="5" max="5" width="45.69140625" bestFit="1" customWidth="1"/>
    <col min="6" max="6" width="30.53515625" bestFit="1" customWidth="1"/>
    <col min="7" max="7" width="11.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20566</v>
      </c>
      <c r="B4" s="11">
        <f>VLOOKUP(A4,'Project Status'!C:D,2,FALSE)</f>
        <v>20054</v>
      </c>
      <c r="C4" s="11" t="str">
        <f>VLOOKUP(A4,'Project Status'!C:E,3,FALSE)</f>
        <v>CP_400151</v>
      </c>
      <c r="D4" s="11" t="str">
        <f>VLOOKUP(A4,'Project Status'!C:F,4,FALSE)</f>
        <v>12000 - Arts and Science: Office of the Dean</v>
      </c>
      <c r="E4" s="11" t="str">
        <f>VLOOKUP(A4,'Project Status'!C:I,7,FALSE)</f>
        <v>SC Chemistry (SC7) - Elevator 1 &amp; 2 Modernization</v>
      </c>
      <c r="F4" s="11" t="str">
        <f>VLOOKUP(A4,'Project Status'!C:J,8,FALSE)</f>
        <v>Warranty or Construction Closeout</v>
      </c>
      <c r="G4" s="11" t="str">
        <f>VLOOKUP(A4,'Project Status'!C:K,9,FALSE)</f>
        <v>Ben Bedock</v>
      </c>
      <c r="H4" s="42">
        <f>VLOOKUP(A4,'Project Status'!C:M,11,FALSE)</f>
        <v>781870</v>
      </c>
    </row>
    <row r="8" spans="1:11" x14ac:dyDescent="0.4">
      <c r="E8" s="43" t="s">
        <v>126</v>
      </c>
    </row>
    <row r="9" spans="1:11" x14ac:dyDescent="0.4">
      <c r="E9" s="22" t="s">
        <v>168</v>
      </c>
      <c r="F9" s="35" t="s">
        <v>141</v>
      </c>
      <c r="H9" s="111">
        <v>17050</v>
      </c>
    </row>
    <row r="10" spans="1:11" x14ac:dyDescent="0.4">
      <c r="E10" s="22" t="s">
        <v>230</v>
      </c>
      <c r="F10" t="s">
        <v>218</v>
      </c>
      <c r="H10" s="45">
        <v>764820</v>
      </c>
    </row>
    <row r="18" spans="5:8" x14ac:dyDescent="0.4">
      <c r="E18" s="163" t="s">
        <v>280</v>
      </c>
      <c r="F18" s="164"/>
      <c r="G18" s="163"/>
      <c r="H18" s="165">
        <f>SUM(H9:H17)</f>
        <v>781870</v>
      </c>
    </row>
    <row r="20" spans="5:8" x14ac:dyDescent="0.4">
      <c r="E20" s="166" t="s">
        <v>138</v>
      </c>
      <c r="F20" s="166"/>
      <c r="G20" s="166"/>
      <c r="H20" s="167">
        <f>H4-H18</f>
        <v>0</v>
      </c>
    </row>
  </sheetData>
  <hyperlinks>
    <hyperlink ref="K1" location="'Project Status'!A1" display="'Project Status'!A1" xr:uid="{9D9D91B3-96ED-43B6-8190-1DB57895DB45}"/>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0861-DF3A-4CB2-ADBB-E60B0AC284CC}">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3046875" bestFit="1" customWidth="1"/>
    <col min="6" max="6" width="12.3828125" bestFit="1" customWidth="1"/>
    <col min="7" max="7" width="11.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20573</v>
      </c>
      <c r="B4" s="11">
        <f>VLOOKUP(A4,'Project Status'!C:D,2,FALSE)</f>
        <v>8047</v>
      </c>
      <c r="C4" s="11" t="str">
        <f>VLOOKUP(A4,'Project Status'!C:E,3,FALSE)</f>
        <v>CP_400185</v>
      </c>
      <c r="D4" s="11" t="str">
        <f>VLOOKUP(A4,'Project Status'!C:F,4,FALSE)</f>
        <v>21000 - Peabody College: Office of the Dean</v>
      </c>
      <c r="E4" s="11" t="str">
        <f>VLOOKUP(A4,'Project Status'!C:I,7,FALSE)</f>
        <v>Wyatt Center - Roof Replacement</v>
      </c>
      <c r="F4" s="11" t="str">
        <f>VLOOKUP(A4,'Project Status'!C:J,8,FALSE)</f>
        <v>Construction</v>
      </c>
      <c r="G4" s="11" t="str">
        <f>VLOOKUP(A4,'Project Status'!C:K,9,FALSE)</f>
        <v>Ben Bedock</v>
      </c>
      <c r="H4" s="42">
        <f>VLOOKUP(A4,'Project Status'!C:M,11,FALSE)</f>
        <v>1232681</v>
      </c>
    </row>
    <row r="8" spans="1:11" x14ac:dyDescent="0.4">
      <c r="E8" s="43" t="s">
        <v>126</v>
      </c>
    </row>
    <row r="9" spans="1:11" x14ac:dyDescent="0.4">
      <c r="E9" t="s">
        <v>244</v>
      </c>
      <c r="F9" s="35" t="s">
        <v>141</v>
      </c>
      <c r="H9" s="44">
        <v>1232681</v>
      </c>
    </row>
    <row r="13" spans="1:11" x14ac:dyDescent="0.4">
      <c r="F13" s="10"/>
      <c r="G13" s="10"/>
      <c r="H13" s="47"/>
    </row>
    <row r="18" spans="5:8" x14ac:dyDescent="0.4">
      <c r="E18" s="163" t="s">
        <v>280</v>
      </c>
      <c r="F18" s="164"/>
      <c r="G18" s="163"/>
      <c r="H18" s="165">
        <f>SUM(H9:H17)</f>
        <v>1232681</v>
      </c>
    </row>
    <row r="20" spans="5:8" x14ac:dyDescent="0.4">
      <c r="E20" s="166" t="s">
        <v>138</v>
      </c>
      <c r="F20" s="166"/>
      <c r="G20" s="166"/>
      <c r="H20" s="167">
        <f>H4-H18</f>
        <v>0</v>
      </c>
    </row>
  </sheetData>
  <hyperlinks>
    <hyperlink ref="K1" location="'Project Status'!A1" display="'Project Status'!A1" xr:uid="{79510245-6057-43AB-81B3-AE76FDEE2F69}"/>
  </hyperlinks>
  <pageMargins left="0.7" right="0.7" top="0.75" bottom="0.75" header="0.3" footer="0.3"/>
  <pageSetup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0EC-A62E-4A3B-A069-FD7D4A09E2F2}">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31" bestFit="1" customWidth="1"/>
    <col min="6" max="6" width="12.3828125" bestFit="1" customWidth="1"/>
    <col min="7" max="7" width="12.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20574</v>
      </c>
      <c r="B4" s="11">
        <f>VLOOKUP(A4,'Project Status'!C:D,2,FALSE)</f>
        <v>8145</v>
      </c>
      <c r="C4" s="11" t="str">
        <f>VLOOKUP(A4,'Project Status'!C:E,3,FALSE)</f>
        <v>CP_400164</v>
      </c>
      <c r="D4" s="11" t="str">
        <f>VLOOKUP(A4,'Project Status'!C:F,4,FALSE)</f>
        <v>18200 - Basic Sciences: Office of the Dean</v>
      </c>
      <c r="E4" s="11" t="str">
        <f>VLOOKUP(A4,'Project Status'!C:I,7,FALSE)</f>
        <v>MRB III - Steam Coil Replacement</v>
      </c>
      <c r="F4" s="11" t="str">
        <f>VLOOKUP(A4,'Project Status'!C:J,8,FALSE)</f>
        <v>Construction</v>
      </c>
      <c r="G4" s="11" t="str">
        <f>VLOOKUP(A4,'Project Status'!C:K,9,FALSE)</f>
        <v>Sean Rewers</v>
      </c>
      <c r="H4" s="42">
        <f>VLOOKUP(A4,'Project Status'!C:M,11,FALSE)</f>
        <v>218202</v>
      </c>
    </row>
    <row r="8" spans="1:11" x14ac:dyDescent="0.4">
      <c r="E8" s="43" t="s">
        <v>126</v>
      </c>
    </row>
    <row r="9" spans="1:11" x14ac:dyDescent="0.4">
      <c r="E9" s="22" t="s">
        <v>219</v>
      </c>
      <c r="F9" s="35" t="s">
        <v>141</v>
      </c>
      <c r="H9" s="44">
        <v>218202</v>
      </c>
    </row>
    <row r="18" spans="5:8" x14ac:dyDescent="0.4">
      <c r="E18" s="163" t="s">
        <v>280</v>
      </c>
      <c r="F18" s="164"/>
      <c r="G18" s="163"/>
      <c r="H18" s="165">
        <f>SUM(H9:H17)</f>
        <v>218202</v>
      </c>
    </row>
    <row r="20" spans="5:8" x14ac:dyDescent="0.4">
      <c r="E20" s="166" t="s">
        <v>138</v>
      </c>
      <c r="F20" s="166"/>
      <c r="G20" s="166"/>
      <c r="H20" s="167">
        <f>H4-H18</f>
        <v>0</v>
      </c>
    </row>
  </sheetData>
  <hyperlinks>
    <hyperlink ref="K1" location="'Project Status'!A1" display="'Project Status'!A1" xr:uid="{CC43B7B6-1C16-4566-88FC-577E36BE5553}"/>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ED2D-14E0-430C-B146-9132012D749B}">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49.3046875" bestFit="1" customWidth="1"/>
    <col min="6" max="6" width="7" bestFit="1" customWidth="1"/>
    <col min="7" max="7" width="11"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20577</v>
      </c>
      <c r="B4" s="11">
        <f>VLOOKUP(A4,'Project Status'!C:D,2,FALSE)</f>
        <v>8146</v>
      </c>
      <c r="C4" s="11" t="str">
        <f>VLOOKUP(A4,'Project Status'!C:E,3,FALSE)</f>
        <v>CP_400154</v>
      </c>
      <c r="D4" s="11" t="str">
        <f>VLOOKUP(A4,'Project Status'!C:F,4,FALSE)</f>
        <v>13000 - Blair: Office of the Dean</v>
      </c>
      <c r="E4" s="11" t="str">
        <f>VLOOKUP(A4,'Project Status'!C:I,7,FALSE)</f>
        <v>Blair School of Music - Air Handling Unit Replacement</v>
      </c>
      <c r="F4" s="11" t="str">
        <f>VLOOKUP(A4,'Project Status'!C:J,8,FALSE)</f>
        <v>Design</v>
      </c>
      <c r="G4" s="11" t="str">
        <f>VLOOKUP(A4,'Project Status'!C:K,9,FALSE)</f>
        <v>Hans Mooy</v>
      </c>
      <c r="H4" s="42">
        <f>VLOOKUP(A4,'Project Status'!C:M,11,FALSE)</f>
        <v>223000</v>
      </c>
    </row>
    <row r="8" spans="1:11" x14ac:dyDescent="0.4">
      <c r="E8" s="43" t="s">
        <v>126</v>
      </c>
    </row>
    <row r="9" spans="1:11" x14ac:dyDescent="0.4">
      <c r="E9" s="22" t="s">
        <v>168</v>
      </c>
      <c r="F9" s="35" t="s">
        <v>141</v>
      </c>
      <c r="H9" s="44">
        <v>53750</v>
      </c>
    </row>
    <row r="10" spans="1:11" x14ac:dyDescent="0.4">
      <c r="E10" s="22" t="s">
        <v>237</v>
      </c>
      <c r="F10" t="s">
        <v>218</v>
      </c>
      <c r="H10" s="45">
        <v>169250</v>
      </c>
    </row>
    <row r="18" spans="5:8" x14ac:dyDescent="0.4">
      <c r="E18" s="163" t="s">
        <v>280</v>
      </c>
      <c r="F18" s="164"/>
      <c r="G18" s="163"/>
      <c r="H18" s="165">
        <f>SUM(H9:H17)</f>
        <v>223000</v>
      </c>
    </row>
    <row r="20" spans="5:8" x14ac:dyDescent="0.4">
      <c r="E20" s="166" t="s">
        <v>138</v>
      </c>
      <c r="F20" s="166"/>
      <c r="G20" s="166"/>
      <c r="H20" s="167">
        <f>H4-H18</f>
        <v>0</v>
      </c>
    </row>
  </sheetData>
  <hyperlinks>
    <hyperlink ref="K1" location="'Project Status'!A1" display="'Project Status'!A1" xr:uid="{C511261E-C1B4-4F9A-B7F9-781B46E9E53D}"/>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8DF-19C3-44A7-90C0-8823F7BBE38D}">
  <sheetPr>
    <tabColor theme="8"/>
  </sheetPr>
  <dimension ref="A1:K20"/>
  <sheetViews>
    <sheetView zoomScale="90" zoomScaleNormal="90" workbookViewId="0">
      <selection activeCell="K1" sqref="K1"/>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40.3046875" bestFit="1" customWidth="1"/>
    <col min="6" max="6" width="30.53515625" bestFit="1" customWidth="1"/>
    <col min="7" max="7" width="11.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20644</v>
      </c>
      <c r="B4" s="11">
        <f>VLOOKUP(A4,'Project Status'!C:D,2,FALSE)</f>
        <v>8241</v>
      </c>
      <c r="C4" s="11" t="str">
        <f>VLOOKUP(A4,'Project Status'!C:E,3,FALSE)</f>
        <v>CP_400171</v>
      </c>
      <c r="D4" s="11" t="str">
        <f>VLOOKUP(A4,'Project Status'!C:F,4,FALSE)</f>
        <v>21000 - Peabody College: Office of the Dean</v>
      </c>
      <c r="E4" s="11" t="str">
        <f>VLOOKUP(A4,'Project Status'!C:I,7,FALSE)</f>
        <v>Peabody Administration - Envelope Repairs</v>
      </c>
      <c r="F4" s="11" t="str">
        <f>VLOOKUP(A4,'Project Status'!C:J,8,FALSE)</f>
        <v>Warranty or Construction Closeout</v>
      </c>
      <c r="G4" s="11" t="str">
        <f>VLOOKUP(A4,'Project Status'!C:K,9,FALSE)</f>
        <v>Ben Bedock</v>
      </c>
      <c r="H4" s="100">
        <f>VLOOKUP(A4,'Project Status'!C:M,11,FALSE)</f>
        <v>630554</v>
      </c>
    </row>
    <row r="8" spans="1:11" x14ac:dyDescent="0.4">
      <c r="E8" s="43" t="s">
        <v>126</v>
      </c>
    </row>
    <row r="9" spans="1:11" x14ac:dyDescent="0.4">
      <c r="E9" s="22" t="s">
        <v>230</v>
      </c>
      <c r="F9" s="35" t="s">
        <v>141</v>
      </c>
      <c r="H9" s="111">
        <v>2050</v>
      </c>
    </row>
    <row r="10" spans="1:11" x14ac:dyDescent="0.4">
      <c r="E10" s="22" t="s">
        <v>261</v>
      </c>
      <c r="F10" t="s">
        <v>218</v>
      </c>
      <c r="H10" s="44">
        <v>628504</v>
      </c>
    </row>
    <row r="18" spans="5:8" x14ac:dyDescent="0.4">
      <c r="E18" s="163" t="s">
        <v>280</v>
      </c>
      <c r="F18" s="164"/>
      <c r="G18" s="163"/>
      <c r="H18" s="165">
        <f>SUM(H9:H17)</f>
        <v>630554</v>
      </c>
    </row>
    <row r="20" spans="5:8" x14ac:dyDescent="0.4">
      <c r="E20" s="166" t="s">
        <v>138</v>
      </c>
      <c r="F20" s="166"/>
      <c r="G20" s="166"/>
      <c r="H20" s="167">
        <f>H4-H18</f>
        <v>0</v>
      </c>
    </row>
  </sheetData>
  <hyperlinks>
    <hyperlink ref="K1" location="'Project Status'!A1" display="'Project Status'!A1" xr:uid="{1A0EC207-3842-436A-A75C-73A6F2FD3FAA}"/>
  </hyperlinks>
  <pageMargins left="0.7" right="0.7" top="0.75" bottom="0.75" header="0.3" footer="0.3"/>
  <pageSetup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71CB-2649-4F6C-A09D-A759B1CE48B8}">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42.3046875" bestFit="1" customWidth="1"/>
    <col min="6" max="6" width="6.69140625" bestFit="1" customWidth="1"/>
    <col min="7" max="7" width="11.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20645</v>
      </c>
      <c r="B4" s="11">
        <f>VLOOKUP(A4,'Project Status'!C:D,2,FALSE)</f>
        <v>8239</v>
      </c>
      <c r="C4" s="11">
        <f>VLOOKUP(A4,'Project Status'!C:E,3,FALSE)</f>
        <v>0</v>
      </c>
      <c r="D4" s="11" t="str">
        <f>VLOOKUP(A4,'Project Status'!C:F,4,FALSE)</f>
        <v>12000 - Arts and Science: Office of the Dean</v>
      </c>
      <c r="E4" s="11" t="str">
        <f>VLOOKUP(A4,'Project Status'!C:I,7,FALSE)</f>
        <v>Benson Old Central - Replace Soffit and Doors</v>
      </c>
      <c r="F4" s="11" t="str">
        <f>VLOOKUP(A4,'Project Status'!C:J,8,FALSE)</f>
        <v>Construction</v>
      </c>
      <c r="G4" s="11" t="str">
        <f>VLOOKUP(A4,'Project Status'!C:K,9,FALSE)</f>
        <v>Ben Bedock</v>
      </c>
      <c r="H4" s="42">
        <f>VLOOKUP(A4,'Project Status'!C:M,11,FALSE)</f>
        <v>125875</v>
      </c>
    </row>
    <row r="8" spans="1:11" x14ac:dyDescent="0.4">
      <c r="E8" s="43" t="s">
        <v>126</v>
      </c>
    </row>
    <row r="9" spans="1:11" x14ac:dyDescent="0.4">
      <c r="E9" t="s">
        <v>296</v>
      </c>
      <c r="F9" s="35" t="s">
        <v>141</v>
      </c>
      <c r="H9" s="44">
        <v>125875</v>
      </c>
    </row>
    <row r="13" spans="1:11" x14ac:dyDescent="0.4">
      <c r="F13" s="10"/>
      <c r="G13" s="10"/>
      <c r="H13" s="47"/>
    </row>
    <row r="18" spans="5:8" x14ac:dyDescent="0.4">
      <c r="E18" s="163" t="s">
        <v>280</v>
      </c>
      <c r="F18" s="164"/>
      <c r="G18" s="163"/>
      <c r="H18" s="165">
        <f>SUM(H9:H17)</f>
        <v>125875</v>
      </c>
    </row>
    <row r="20" spans="5:8" x14ac:dyDescent="0.4">
      <c r="E20" s="166" t="s">
        <v>138</v>
      </c>
      <c r="F20" s="166"/>
      <c r="G20" s="166"/>
      <c r="H20" s="167">
        <f>H4-H18</f>
        <v>0</v>
      </c>
    </row>
  </sheetData>
  <hyperlinks>
    <hyperlink ref="K1" location="'Project Status'!A1" display="'Project Status'!A1" xr:uid="{A5FAC7C1-1127-4CE7-9C4D-289D5BC5630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67D-0DE5-4AC2-85BD-D299DBA283BB}">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51.15234375" bestFit="1" customWidth="1"/>
    <col min="6" max="6" width="7" bestFit="1" customWidth="1"/>
    <col min="7" max="7" width="12.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20667</v>
      </c>
      <c r="B4" s="11">
        <f>VLOOKUP(A4,'Project Status'!C:D,2,FALSE)</f>
        <v>8168</v>
      </c>
      <c r="C4" s="11" t="str">
        <f>VLOOKUP(A4,'Project Status'!C:E,3,FALSE)</f>
        <v>CP_400160</v>
      </c>
      <c r="D4" s="11" t="str">
        <f>VLOOKUP(A4,'Project Status'!C:F,4,FALSE)</f>
        <v>15000 - Engineering: Office of the Dean</v>
      </c>
      <c r="E4" s="11" t="str">
        <f>VLOOKUP(A4,'Project Status'!C:I,7,FALSE)</f>
        <v>1025 16th Avenue - Mechanical and Electrical Upgrades</v>
      </c>
      <c r="F4" s="11" t="str">
        <f>VLOOKUP(A4,'Project Status'!C:J,8,FALSE)</f>
        <v>Design</v>
      </c>
      <c r="G4" s="11" t="str">
        <f>VLOOKUP(A4,'Project Status'!C:K,9,FALSE)</f>
        <v>Sean Rewers</v>
      </c>
      <c r="H4" s="42">
        <f>VLOOKUP(A4,'Project Status'!C:M,11,FALSE)</f>
        <v>146500</v>
      </c>
    </row>
    <row r="8" spans="1:11" x14ac:dyDescent="0.4">
      <c r="E8" s="43" t="s">
        <v>126</v>
      </c>
    </row>
    <row r="9" spans="1:11" x14ac:dyDescent="0.4">
      <c r="E9" s="22" t="s">
        <v>178</v>
      </c>
      <c r="F9" s="35" t="s">
        <v>141</v>
      </c>
      <c r="H9" s="44">
        <v>135000</v>
      </c>
    </row>
    <row r="10" spans="1:11" x14ac:dyDescent="0.4">
      <c r="E10" s="22" t="s">
        <v>237</v>
      </c>
      <c r="F10" t="s">
        <v>148</v>
      </c>
      <c r="H10" s="45">
        <v>11500</v>
      </c>
    </row>
    <row r="18" spans="5:8" x14ac:dyDescent="0.4">
      <c r="E18" s="163" t="s">
        <v>280</v>
      </c>
      <c r="F18" s="164"/>
      <c r="G18" s="163"/>
      <c r="H18" s="165">
        <f>SUM(H9:H17)</f>
        <v>146500</v>
      </c>
    </row>
    <row r="20" spans="5:8" x14ac:dyDescent="0.4">
      <c r="E20" s="166" t="s">
        <v>138</v>
      </c>
      <c r="F20" s="166"/>
      <c r="G20" s="166"/>
      <c r="H20" s="167">
        <f>H4-H18</f>
        <v>0</v>
      </c>
    </row>
  </sheetData>
  <hyperlinks>
    <hyperlink ref="K1" location="'Project Status'!A1" display="'Project Status'!A1" xr:uid="{F348F888-B7DA-42CA-B30E-EA2EAF1EAB04}"/>
  </hyperlinks>
  <pageMargins left="0.7" right="0.7" top="0.75" bottom="0.75" header="0.3" footer="0.3"/>
  <pageSetup paperSize="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E94-A1A9-44FA-851E-DFCC2489C23D}">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29.53515625" bestFit="1" customWidth="1"/>
    <col min="6" max="6" width="7" bestFit="1" customWidth="1"/>
    <col min="7" max="7" width="12.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20668</v>
      </c>
      <c r="B4" s="11">
        <f>VLOOKUP(A4,'Project Status'!C:D,2,FALSE)</f>
        <v>8151</v>
      </c>
      <c r="C4" s="11" t="str">
        <f>VLOOKUP(A4,'Project Status'!C:E,3,FALSE)</f>
        <v>CP_400163</v>
      </c>
      <c r="D4" s="11" t="str">
        <f>VLOOKUP(A4,'Project Status'!C:F,4,FALSE)</f>
        <v>15000 - Engineering: Office of the Dean</v>
      </c>
      <c r="E4" s="11" t="str">
        <f>VLOOKUP(A4,'Project Status'!C:I,7,FALSE)</f>
        <v>Keck FEL - Mechanical Upgrades</v>
      </c>
      <c r="F4" s="11" t="str">
        <f>VLOOKUP(A4,'Project Status'!C:J,8,FALSE)</f>
        <v>Design</v>
      </c>
      <c r="G4" s="11" t="str">
        <f>VLOOKUP(A4,'Project Status'!C:K,9,FALSE)</f>
        <v>Sean Rewers</v>
      </c>
      <c r="H4" s="100">
        <f>VLOOKUP(A4,'Project Status'!C:M,11,FALSE)</f>
        <v>206500</v>
      </c>
    </row>
    <row r="8" spans="1:11" x14ac:dyDescent="0.4">
      <c r="E8" s="43" t="s">
        <v>126</v>
      </c>
    </row>
    <row r="9" spans="1:11" x14ac:dyDescent="0.4">
      <c r="E9" s="22" t="s">
        <v>219</v>
      </c>
      <c r="F9" s="35" t="s">
        <v>141</v>
      </c>
      <c r="H9" s="44">
        <v>195000</v>
      </c>
    </row>
    <row r="10" spans="1:11" x14ac:dyDescent="0.4">
      <c r="E10" s="22" t="s">
        <v>237</v>
      </c>
      <c r="F10" t="s">
        <v>148</v>
      </c>
      <c r="H10" s="44">
        <v>11500</v>
      </c>
    </row>
    <row r="18" spans="5:8" x14ac:dyDescent="0.4">
      <c r="E18" s="163" t="s">
        <v>280</v>
      </c>
      <c r="F18" s="164"/>
      <c r="G18" s="163"/>
      <c r="H18" s="165">
        <f>SUM(H9:H17)</f>
        <v>206500</v>
      </c>
    </row>
    <row r="20" spans="5:8" x14ac:dyDescent="0.4">
      <c r="E20" s="166" t="s">
        <v>138</v>
      </c>
      <c r="F20" s="166"/>
      <c r="G20" s="166"/>
      <c r="H20" s="167">
        <f>H4-H18</f>
        <v>0</v>
      </c>
    </row>
  </sheetData>
  <hyperlinks>
    <hyperlink ref="K1" location="'Project Status'!A1" display="'Project Status'!A1" xr:uid="{73ABE9C2-583B-4191-9767-E1B32BE198A1}"/>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5E94-51EE-4CD2-B39B-606B98650133}">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4.69140625" bestFit="1" customWidth="1"/>
    <col min="6" max="6" width="7" bestFit="1" customWidth="1"/>
    <col min="7" max="7" width="12.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20698</v>
      </c>
      <c r="B4" s="11">
        <f>VLOOKUP(A4,'Project Status'!C:D,2,FALSE)</f>
        <v>1138</v>
      </c>
      <c r="C4" s="11" t="str">
        <f>VLOOKUP(A4,'Project Status'!C:E,3,FALSE)</f>
        <v>CP_400168</v>
      </c>
      <c r="D4" s="11" t="str">
        <f>VLOOKUP(A4,'Project Status'!C:F,4,FALSE)</f>
        <v>12000 - Arts and Science: Office of the Dean</v>
      </c>
      <c r="E4" s="11" t="str">
        <f>VLOOKUP(A4,'Project Status'!C:I,7,FALSE)</f>
        <v>Wilson Hall - Fire Alarm Replacement</v>
      </c>
      <c r="F4" s="11" t="str">
        <f>VLOOKUP(A4,'Project Status'!C:J,8,FALSE)</f>
        <v>Design</v>
      </c>
      <c r="G4" s="11" t="str">
        <f>VLOOKUP(A4,'Project Status'!C:K,9,FALSE)</f>
        <v>Sean Rewers</v>
      </c>
      <c r="H4" s="100">
        <f>VLOOKUP(A4,'Project Status'!C:M,11,FALSE)</f>
        <v>29250</v>
      </c>
    </row>
    <row r="8" spans="1:11" x14ac:dyDescent="0.4">
      <c r="E8" s="43" t="s">
        <v>126</v>
      </c>
    </row>
    <row r="9" spans="1:11" x14ac:dyDescent="0.4">
      <c r="E9" s="22" t="s">
        <v>219</v>
      </c>
      <c r="F9" s="35" t="s">
        <v>141</v>
      </c>
      <c r="H9" s="44">
        <v>24500</v>
      </c>
    </row>
    <row r="10" spans="1:11" x14ac:dyDescent="0.4">
      <c r="E10" s="22" t="s">
        <v>219</v>
      </c>
      <c r="F10" t="s">
        <v>218</v>
      </c>
      <c r="H10" s="44">
        <v>450</v>
      </c>
    </row>
    <row r="11" spans="1:11" x14ac:dyDescent="0.4">
      <c r="E11" s="22" t="s">
        <v>296</v>
      </c>
      <c r="F11" t="s">
        <v>148</v>
      </c>
      <c r="H11" s="44">
        <v>4300</v>
      </c>
    </row>
    <row r="18" spans="5:8" x14ac:dyDescent="0.4">
      <c r="E18" s="163" t="s">
        <v>280</v>
      </c>
      <c r="F18" s="164"/>
      <c r="G18" s="163"/>
      <c r="H18" s="165">
        <f>SUM(H9:H17)</f>
        <v>29250</v>
      </c>
    </row>
    <row r="20" spans="5:8" x14ac:dyDescent="0.4">
      <c r="E20" s="166" t="s">
        <v>138</v>
      </c>
      <c r="F20" s="166"/>
      <c r="G20" s="166"/>
      <c r="H20" s="167">
        <f>H4-H18</f>
        <v>0</v>
      </c>
    </row>
  </sheetData>
  <hyperlinks>
    <hyperlink ref="K1" location="'Project Status'!A1" display="'Project Status'!A1" xr:uid="{E7834D54-DAF7-45D2-9A68-536A70719D8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EA9-06D6-4136-BE20-C66EFABB8436}">
  <sheetPr>
    <tabColor theme="0" tint="-0.499984740745262"/>
  </sheetPr>
  <dimension ref="A1:H41"/>
  <sheetViews>
    <sheetView zoomScale="90" zoomScaleNormal="90" workbookViewId="0">
      <pane ySplit="5" topLeftCell="A16" activePane="bottomLeft" state="frozen"/>
      <selection activeCell="A58" sqref="A58:A79"/>
      <selection pane="bottomLeft" activeCell="C2" sqref="C2"/>
    </sheetView>
  </sheetViews>
  <sheetFormatPr defaultRowHeight="14.6" x14ac:dyDescent="0.4"/>
  <cols>
    <col min="1" max="1" width="3.3046875" bestFit="1" customWidth="1"/>
    <col min="2" max="2" width="17.3828125" bestFit="1" customWidth="1"/>
    <col min="3" max="3" width="9.69140625" customWidth="1"/>
    <col min="4" max="4" width="18.3046875" bestFit="1" customWidth="1"/>
    <col min="5" max="5" width="64.3046875" bestFit="1" customWidth="1"/>
    <col min="6" max="6" width="14.3828125" style="44" bestFit="1" customWidth="1"/>
    <col min="7" max="7" width="14.3046875" style="44" bestFit="1" customWidth="1"/>
    <col min="8" max="8" width="14" style="44" bestFit="1" customWidth="1"/>
  </cols>
  <sheetData>
    <row r="1" spans="1:8" s="8" customFormat="1" x14ac:dyDescent="0.4">
      <c r="B1" s="10" t="s">
        <v>194</v>
      </c>
      <c r="D1" s="10"/>
      <c r="F1" s="71"/>
      <c r="G1" s="71"/>
      <c r="H1" s="71"/>
    </row>
    <row r="2" spans="1:8" s="8" customFormat="1" x14ac:dyDescent="0.4">
      <c r="B2" s="94" t="s">
        <v>112</v>
      </c>
      <c r="C2" s="95">
        <v>45175</v>
      </c>
      <c r="D2" s="35"/>
      <c r="F2" s="71"/>
      <c r="G2" s="71"/>
      <c r="H2" s="71"/>
    </row>
    <row r="4" spans="1:8" x14ac:dyDescent="0.4">
      <c r="B4" s="10" t="s">
        <v>113</v>
      </c>
      <c r="C4" s="10"/>
      <c r="D4" s="10"/>
      <c r="F4" s="72" t="s">
        <v>172</v>
      </c>
      <c r="G4" s="72" t="s">
        <v>173</v>
      </c>
      <c r="H4" s="72" t="s">
        <v>173</v>
      </c>
    </row>
    <row r="5" spans="1:8" ht="29.15" x14ac:dyDescent="0.4">
      <c r="B5" s="65" t="s">
        <v>170</v>
      </c>
      <c r="C5" s="66" t="s">
        <v>169</v>
      </c>
      <c r="D5" s="65" t="s">
        <v>86</v>
      </c>
      <c r="E5" s="23" t="s">
        <v>171</v>
      </c>
      <c r="F5" s="73" t="s">
        <v>229</v>
      </c>
      <c r="G5" s="74" t="s">
        <v>331</v>
      </c>
      <c r="H5" s="127" t="s">
        <v>252</v>
      </c>
    </row>
    <row r="6" spans="1:8" x14ac:dyDescent="0.4">
      <c r="A6" s="109">
        <v>1</v>
      </c>
      <c r="B6" t="str">
        <f>VLOOKUP(C6,'Project Status'!C:J,8,FALSE)</f>
        <v>Finalized</v>
      </c>
      <c r="C6" s="61">
        <v>10085</v>
      </c>
      <c r="D6" s="27" t="str">
        <f>VLOOKUP(C6,'Project Status'!C:G,5,FALSE)</f>
        <v>Peabody</v>
      </c>
      <c r="E6" t="str">
        <f>VLOOKUP(C6,'Project Status'!C:I,7,FALSE)</f>
        <v>One Magnolia Circle - Modify/Upgrade Electrical and Grounding</v>
      </c>
      <c r="F6" s="107">
        <f>VLOOKUP(C6,'Project Status'!C:L,10,FALSE)</f>
        <v>17500</v>
      </c>
      <c r="G6" s="108">
        <f>VLOOKUP(C6,'Project Status'!C:Q,15,FALSE)</f>
        <v>17500</v>
      </c>
      <c r="H6" s="128">
        <f>VLOOKUP(C6,'Project Status'!C:T,18,FALSE)</f>
        <v>0</v>
      </c>
    </row>
    <row r="7" spans="1:8" x14ac:dyDescent="0.4">
      <c r="A7" s="109">
        <v>2</v>
      </c>
      <c r="B7" t="str">
        <f>VLOOKUP(C7,'Project Status'!C:J,8,FALSE)</f>
        <v>Financial Closeout</v>
      </c>
      <c r="C7" s="61">
        <v>10098</v>
      </c>
      <c r="D7" s="27" t="str">
        <f>VLOOKUP(C7,'Project Status'!C:G,5,FALSE)</f>
        <v>SOM Basic Sciences</v>
      </c>
      <c r="E7" t="str">
        <f>VLOOKUP(C7,'Project Status'!C:I,7,FALSE)</f>
        <v>MRB III - 4th Floor - Replace Controls (Phase 2)</v>
      </c>
      <c r="F7" s="107">
        <f>VLOOKUP(C7,'Project Status'!C:L,10,FALSE)</f>
        <v>1216485.5</v>
      </c>
      <c r="G7" s="108">
        <f>VLOOKUP(C7,'Project Status'!C:Q,15,FALSE)</f>
        <v>1216485.5</v>
      </c>
      <c r="H7" s="128">
        <f>VLOOKUP(C7,'Project Status'!C:T,18,FALSE)</f>
        <v>0</v>
      </c>
    </row>
    <row r="8" spans="1:8" x14ac:dyDescent="0.4">
      <c r="A8" s="109">
        <v>3</v>
      </c>
      <c r="B8" t="str">
        <f>VLOOKUP(C8,'Project Status'!C:J,8,FALSE)</f>
        <v>Design</v>
      </c>
      <c r="C8" s="61">
        <v>10146</v>
      </c>
      <c r="D8" s="27" t="str">
        <f>VLOOKUP(C8,'Project Status'!C:G,5,FALSE)</f>
        <v>Nursing</v>
      </c>
      <c r="E8" t="str">
        <f>VLOOKUP(C8,'Project Status'!C:I,7,FALSE)</f>
        <v>Godchaux Hall - HVAC Upgrade</v>
      </c>
      <c r="F8" s="107">
        <f>VLOOKUP(C8,'Project Status'!C:L,10,FALSE)</f>
        <v>0</v>
      </c>
      <c r="G8" s="108">
        <f>VLOOKUP(C8,'Project Status'!C:Q,15,FALSE)</f>
        <v>4900</v>
      </c>
      <c r="H8" s="128">
        <f>VLOOKUP(C8,'Project Status'!C:T,18,FALSE)</f>
        <v>0</v>
      </c>
    </row>
    <row r="9" spans="1:8" x14ac:dyDescent="0.4">
      <c r="A9" s="109">
        <v>4</v>
      </c>
      <c r="B9" t="str">
        <f>VLOOKUP(C9,'Project Status'!C:J,8,FALSE)</f>
        <v>Warranty or Construction Closeout</v>
      </c>
      <c r="C9" s="61">
        <v>20179</v>
      </c>
      <c r="D9" s="27" t="str">
        <f>VLOOKUP(C9,'Project Status'!C:G,5,FALSE)</f>
        <v>Law</v>
      </c>
      <c r="E9" t="str">
        <f>VLOOKUP(C9,'Project Status'!C:I,7,FALSE)</f>
        <v>Law School - Fire Alarm System Replacement</v>
      </c>
      <c r="F9" s="107">
        <f>VLOOKUP(C9,'Project Status'!C:L,10,FALSE)</f>
        <v>1445389</v>
      </c>
      <c r="G9" s="108">
        <f>VLOOKUP(C9,'Project Status'!C:Q,15,FALSE)</f>
        <v>722694.5</v>
      </c>
      <c r="H9" s="128">
        <f>VLOOKUP(C9,'Project Status'!C:T,18,FALSE)</f>
        <v>0</v>
      </c>
    </row>
    <row r="10" spans="1:8" x14ac:dyDescent="0.4">
      <c r="A10" s="109">
        <v>5</v>
      </c>
      <c r="B10" t="str">
        <f>VLOOKUP(C10,'Project Status'!C:J,8,FALSE)</f>
        <v>Warranty or Construction Closeout</v>
      </c>
      <c r="C10" s="61">
        <v>20336</v>
      </c>
      <c r="D10" s="27" t="str">
        <f>VLOOKUP(C10,'Project Status'!C:G,5,FALSE)</f>
        <v>Blair</v>
      </c>
      <c r="E10" t="str">
        <f>VLOOKUP(C10,'Project Status'!C:I,7,FALSE)</f>
        <v>Blair School of Music - Elevator #3 Modernization</v>
      </c>
      <c r="F10" s="107">
        <f>VLOOKUP(C10,'Project Status'!C:L,10,FALSE)</f>
        <v>327890</v>
      </c>
      <c r="G10" s="108">
        <f>VLOOKUP(C10,'Project Status'!C:Q,15,FALSE)</f>
        <v>327890</v>
      </c>
      <c r="H10" s="128">
        <f>VLOOKUP(C10,'Project Status'!C:T,18,FALSE)</f>
        <v>0</v>
      </c>
    </row>
    <row r="11" spans="1:8" x14ac:dyDescent="0.4">
      <c r="A11" s="109">
        <v>6</v>
      </c>
      <c r="B11" t="str">
        <f>VLOOKUP(C11,'Project Status'!C:J,8,FALSE)</f>
        <v>Construction</v>
      </c>
      <c r="C11" s="61">
        <v>20431</v>
      </c>
      <c r="D11" s="27" t="str">
        <f>VLOOKUP(C11,'Project Status'!C:G,5,FALSE)</f>
        <v>Divinity</v>
      </c>
      <c r="E11" t="str">
        <f>VLOOKUP(C11,'Project Status'!C:I,7,FALSE)</f>
        <v>Divinity - AHU 5N (5 &amp; 6) Replacement</v>
      </c>
      <c r="F11" s="107">
        <f>VLOOKUP(C11,'Project Status'!C:L,10,FALSE)</f>
        <v>3800000</v>
      </c>
      <c r="G11" s="108">
        <f>VLOOKUP(C11,'Project Status'!C:Q,15,FALSE)</f>
        <v>69862.5</v>
      </c>
      <c r="H11" s="128">
        <f>VLOOKUP(C11,'Project Status'!C:T,18,FALSE)</f>
        <v>3730137.5</v>
      </c>
    </row>
    <row r="12" spans="1:8" x14ac:dyDescent="0.4">
      <c r="A12" s="109">
        <v>7</v>
      </c>
      <c r="B12" t="str">
        <f>VLOOKUP(C12,'Project Status'!C:J,8,FALSE)</f>
        <v>Construction</v>
      </c>
      <c r="C12" s="61">
        <v>20478</v>
      </c>
      <c r="D12" s="27" t="str">
        <f>VLOOKUP(C12,'Project Status'!C:G,5,FALSE)</f>
        <v>Arts &amp; Science</v>
      </c>
      <c r="E12" t="str">
        <f>VLOOKUP(C12,'Project Status'!C:I,7,FALSE)</f>
        <v>Bryan Building - Swing Space Renovation - A&amp;S Planning</v>
      </c>
      <c r="F12" s="107">
        <f>VLOOKUP(C12,'Project Status'!C:L,10,FALSE)</f>
        <v>2900000</v>
      </c>
      <c r="G12" s="108">
        <f>VLOOKUP(C12,'Project Status'!C:Q,15,FALSE)</f>
        <v>81100</v>
      </c>
      <c r="H12" s="128">
        <f>VLOOKUP(C12,'Project Status'!C:T,18,FALSE)</f>
        <v>1028900</v>
      </c>
    </row>
    <row r="13" spans="1:8" x14ac:dyDescent="0.4">
      <c r="A13" s="109">
        <v>8</v>
      </c>
      <c r="B13" t="str">
        <f>VLOOKUP(C13,'Project Status'!C:J,8,FALSE)</f>
        <v>Design</v>
      </c>
      <c r="C13" s="61">
        <v>20489</v>
      </c>
      <c r="D13" s="27" t="str">
        <f>VLOOKUP(C13,'Project Status'!C:G,5,FALSE)</f>
        <v>Divinity</v>
      </c>
      <c r="E13" t="str">
        <f>VLOOKUP(C13,'Project Status'!C:I,7,FALSE)</f>
        <v>Divinity - AHU 1N (1&amp;3) Replacement with Benton</v>
      </c>
      <c r="F13" s="107">
        <f>VLOOKUP(C13,'Project Status'!C:L,10,FALSE)</f>
        <v>4650000</v>
      </c>
      <c r="G13" s="108">
        <f>VLOOKUP(C13,'Project Status'!C:Q,15,FALSE)</f>
        <v>26500</v>
      </c>
      <c r="H13" s="128">
        <f>VLOOKUP(C13,'Project Status'!C:T,18,FALSE)</f>
        <v>0</v>
      </c>
    </row>
    <row r="14" spans="1:8" x14ac:dyDescent="0.4">
      <c r="A14" s="109">
        <v>9</v>
      </c>
      <c r="B14" t="str">
        <f>VLOOKUP(C14,'Project Status'!C:J,8,FALSE)</f>
        <v>Warranty or Construction Closeout</v>
      </c>
      <c r="C14" s="61">
        <v>20497</v>
      </c>
      <c r="D14" s="27" t="str">
        <f>VLOOKUP(C14,'Project Status'!C:G,5,FALSE)</f>
        <v>Peabody</v>
      </c>
      <c r="E14" t="str">
        <f>VLOOKUP(C14,'Project Status'!C:I,7,FALSE)</f>
        <v>Jesup - Roof Replacement</v>
      </c>
      <c r="F14" s="107">
        <f>VLOOKUP(C14,'Project Status'!C:L,10,FALSE)</f>
        <v>456850</v>
      </c>
      <c r="G14" s="108">
        <f>VLOOKUP(C14,'Project Status'!C:Q,15,FALSE)</f>
        <v>79415.5</v>
      </c>
      <c r="H14" s="128">
        <f>VLOOKUP(C14,'Project Status'!C:T,18,FALSE)</f>
        <v>0</v>
      </c>
    </row>
    <row r="15" spans="1:8" x14ac:dyDescent="0.4">
      <c r="A15" s="109">
        <v>10</v>
      </c>
      <c r="B15" t="str">
        <f>VLOOKUP(C15,'Project Status'!C:J,8,FALSE)</f>
        <v>Warranty or Construction Closeout</v>
      </c>
      <c r="C15" s="61">
        <v>20506</v>
      </c>
      <c r="D15" s="27" t="str">
        <f>VLOOKUP(C15,'Project Status'!C:G,5,FALSE)</f>
        <v>Peabody</v>
      </c>
      <c r="E15" t="str">
        <f>VLOOKUP(C15,'Project Status'!C:I,7,FALSE)</f>
        <v>Wyatt Center - Window Replacement</v>
      </c>
      <c r="F15" s="107">
        <f>VLOOKUP(C15,'Project Status'!C:L,10,FALSE)</f>
        <v>344155.26</v>
      </c>
      <c r="G15" s="108">
        <f>VLOOKUP(C15,'Project Status'!C:Q,15,FALSE)</f>
        <v>344155.26</v>
      </c>
      <c r="H15" s="128">
        <f>VLOOKUP(C15,'Project Status'!C:T,18,FALSE)</f>
        <v>0</v>
      </c>
    </row>
    <row r="16" spans="1:8" x14ac:dyDescent="0.4">
      <c r="A16" s="109">
        <v>11</v>
      </c>
      <c r="B16" t="str">
        <f>VLOOKUP(C16,'Project Status'!C:J,8,FALSE)</f>
        <v>Construction</v>
      </c>
      <c r="C16" s="61">
        <v>20562</v>
      </c>
      <c r="D16" s="27" t="str">
        <f>VLOOKUP(C16,'Project Status'!C:G,5,FALSE)</f>
        <v>Peabody</v>
      </c>
      <c r="E16" t="str">
        <f>VLOOKUP(C16,'Project Status'!C:I,7,FALSE)</f>
        <v>Wyatt Center - VAV Replacement</v>
      </c>
      <c r="F16" s="107">
        <f>VLOOKUP(C16,'Project Status'!C:L,10,FALSE)</f>
        <v>400000</v>
      </c>
      <c r="G16" s="108">
        <f>VLOOKUP(C16,'Project Status'!C:Q,15,FALSE)</f>
        <v>405791</v>
      </c>
      <c r="H16" s="128">
        <f>VLOOKUP(C16,'Project Status'!C:T,18,FALSE)</f>
        <v>0</v>
      </c>
    </row>
    <row r="17" spans="1:8" x14ac:dyDescent="0.4">
      <c r="A17" s="109">
        <v>12</v>
      </c>
      <c r="B17" t="str">
        <f>VLOOKUP(C17,'Project Status'!C:J,8,FALSE)</f>
        <v>Not Started</v>
      </c>
      <c r="C17" s="61">
        <v>20563</v>
      </c>
      <c r="D17" s="27" t="str">
        <f>VLOOKUP(C17,'Project Status'!C:G,5,FALSE)</f>
        <v>Engineering</v>
      </c>
      <c r="E17" t="str">
        <f>VLOOKUP(C17,'Project Status'!C:I,7,FALSE)</f>
        <v>Keck FEL - Roof Replacement</v>
      </c>
      <c r="F17" s="107">
        <f>VLOOKUP(C17,'Project Status'!C:L,10,FALSE)</f>
        <v>386000</v>
      </c>
      <c r="G17" s="108">
        <f>VLOOKUP(C17,'Project Status'!C:Q,15,FALSE)</f>
        <v>0</v>
      </c>
      <c r="H17" s="128">
        <f>VLOOKUP(C17,'Project Status'!C:T,18,FALSE)</f>
        <v>0</v>
      </c>
    </row>
    <row r="18" spans="1:8" x14ac:dyDescent="0.4">
      <c r="A18" s="109">
        <v>13</v>
      </c>
      <c r="B18" t="str">
        <f>VLOOKUP(C18,'Project Status'!C:J,8,FALSE)</f>
        <v>Warranty or Construction Closeout</v>
      </c>
      <c r="C18" s="61">
        <v>20566</v>
      </c>
      <c r="D18" s="27" t="str">
        <f>VLOOKUP(C18,'Project Status'!C:G,5,FALSE)</f>
        <v>Arts &amp; Science</v>
      </c>
      <c r="E18" t="str">
        <f>VLOOKUP(C18,'Project Status'!C:I,7,FALSE)</f>
        <v>SC Chemistry (SC7) - Elevator 1 &amp; 2 Modernization</v>
      </c>
      <c r="F18" s="107">
        <f>VLOOKUP(C18,'Project Status'!C:L,10,FALSE)</f>
        <v>781870</v>
      </c>
      <c r="G18" s="108">
        <f>VLOOKUP(C18,'Project Status'!C:Q,15,FALSE)</f>
        <v>781870</v>
      </c>
      <c r="H18" s="128">
        <f>VLOOKUP(C18,'Project Status'!C:T,18,FALSE)</f>
        <v>0</v>
      </c>
    </row>
    <row r="19" spans="1:8" x14ac:dyDescent="0.4">
      <c r="A19" s="109">
        <v>14</v>
      </c>
      <c r="B19" t="str">
        <f>VLOOKUP(C19,'Project Status'!C:J,8,FALSE)</f>
        <v>Construction</v>
      </c>
      <c r="C19" s="61">
        <v>20573</v>
      </c>
      <c r="D19" s="27" t="str">
        <f>VLOOKUP(C19,'Project Status'!C:G,5,FALSE)</f>
        <v>Peabody</v>
      </c>
      <c r="E19" t="str">
        <f>VLOOKUP(C19,'Project Status'!C:I,7,FALSE)</f>
        <v>Wyatt Center - Roof Replacement</v>
      </c>
      <c r="F19" s="107">
        <f>VLOOKUP(C19,'Project Status'!C:L,10,FALSE)</f>
        <v>1232681</v>
      </c>
      <c r="G19" s="108">
        <f>VLOOKUP(C19,'Project Status'!C:Q,15,FALSE)</f>
        <v>1232681</v>
      </c>
      <c r="H19" s="128">
        <f>VLOOKUP(C19,'Project Status'!C:T,18,FALSE)</f>
        <v>0</v>
      </c>
    </row>
    <row r="20" spans="1:8" x14ac:dyDescent="0.4">
      <c r="A20" s="109">
        <v>15</v>
      </c>
      <c r="B20" t="str">
        <f>VLOOKUP(C20,'Project Status'!C:J,8,FALSE)</f>
        <v>Construction</v>
      </c>
      <c r="C20" s="61">
        <v>20574</v>
      </c>
      <c r="D20" s="27" t="str">
        <f>VLOOKUP(C20,'Project Status'!C:G,5,FALSE)</f>
        <v>SOM Basic Sciences</v>
      </c>
      <c r="E20" t="str">
        <f>VLOOKUP(C20,'Project Status'!C:I,7,FALSE)</f>
        <v>MRB III - Steam Coil Replacement</v>
      </c>
      <c r="F20" s="107">
        <f>VLOOKUP(C20,'Project Status'!C:L,10,FALSE)</f>
        <v>218202</v>
      </c>
      <c r="G20" s="108">
        <f>VLOOKUP(C20,'Project Status'!C:Q,15,FALSE)</f>
        <v>218202</v>
      </c>
      <c r="H20" s="128">
        <f>VLOOKUP(C20,'Project Status'!C:T,18,FALSE)</f>
        <v>0</v>
      </c>
    </row>
    <row r="21" spans="1:8" x14ac:dyDescent="0.4">
      <c r="A21" s="109">
        <v>16</v>
      </c>
      <c r="B21" t="str">
        <f>VLOOKUP(C21,'Project Status'!C:J,8,FALSE)</f>
        <v>Design</v>
      </c>
      <c r="C21" s="61">
        <v>20577</v>
      </c>
      <c r="D21" s="27" t="str">
        <f>VLOOKUP(C21,'Project Status'!C:G,5,FALSE)</f>
        <v>Blair</v>
      </c>
      <c r="E21" t="str">
        <f>VLOOKUP(C21,'Project Status'!C:I,7,FALSE)</f>
        <v>Blair School of Music - Air Handling Unit Replacement</v>
      </c>
      <c r="F21" s="107">
        <f>VLOOKUP(C21,'Project Status'!C:L,10,FALSE)</f>
        <v>4500000</v>
      </c>
      <c r="G21" s="108">
        <f>VLOOKUP(C21,'Project Status'!C:Q,15,FALSE)</f>
        <v>223000</v>
      </c>
      <c r="H21" s="128">
        <f>VLOOKUP(C21,'Project Status'!C:T,18,FALSE)</f>
        <v>0</v>
      </c>
    </row>
    <row r="22" spans="1:8" x14ac:dyDescent="0.4">
      <c r="A22" s="109">
        <v>17</v>
      </c>
      <c r="B22" t="str">
        <f>VLOOKUP(C22,'Project Status'!C:J,8,FALSE)</f>
        <v>Warranty or Construction Closeout</v>
      </c>
      <c r="C22" s="61">
        <v>20644</v>
      </c>
      <c r="D22" s="27" t="str">
        <f>VLOOKUP(C22,'Project Status'!C:G,5,FALSE)</f>
        <v>Peabody</v>
      </c>
      <c r="E22" t="str">
        <f>VLOOKUP(C22,'Project Status'!C:I,7,FALSE)</f>
        <v>Peabody Administration - Envelope Repairs</v>
      </c>
      <c r="F22" s="107">
        <f>VLOOKUP(C22,'Project Status'!C:L,10,FALSE)</f>
        <v>630554</v>
      </c>
      <c r="G22" s="108">
        <f>VLOOKUP(C22,'Project Status'!C:Q,15,FALSE)</f>
        <v>630554</v>
      </c>
      <c r="H22" s="128">
        <f>VLOOKUP(C22,'Project Status'!C:T,18,FALSE)</f>
        <v>0</v>
      </c>
    </row>
    <row r="23" spans="1:8" x14ac:dyDescent="0.4">
      <c r="A23" s="109">
        <v>18</v>
      </c>
      <c r="B23" t="str">
        <f>VLOOKUP(C23,'Project Status'!C:J,8,FALSE)</f>
        <v>Construction</v>
      </c>
      <c r="C23" s="61">
        <v>20645</v>
      </c>
      <c r="D23" s="27" t="str">
        <f>VLOOKUP(C23,'Project Status'!C:G,5,FALSE)</f>
        <v>Arts &amp; Science</v>
      </c>
      <c r="E23" t="str">
        <f>VLOOKUP(C23,'Project Status'!C:I,7,FALSE)</f>
        <v>Benson Old Central - Replace Soffit and Doors</v>
      </c>
      <c r="F23" s="107">
        <f>VLOOKUP(C23,'Project Status'!C:L,10,FALSE)</f>
        <v>125875</v>
      </c>
      <c r="G23" s="108">
        <f>VLOOKUP(C23,'Project Status'!C:Q,15,FALSE)</f>
        <v>125875</v>
      </c>
      <c r="H23" s="128">
        <f>VLOOKUP(C23,'Project Status'!C:T,18,FALSE)</f>
        <v>0</v>
      </c>
    </row>
    <row r="24" spans="1:8" x14ac:dyDescent="0.4">
      <c r="A24" s="109">
        <v>19</v>
      </c>
      <c r="B24" t="str">
        <f>VLOOKUP(C24,'Project Status'!C:J,8,FALSE)</f>
        <v>Design</v>
      </c>
      <c r="C24" s="61">
        <v>20667</v>
      </c>
      <c r="D24" s="27" t="str">
        <f>VLOOKUP(C24,'Project Status'!C:G,5,FALSE)</f>
        <v>Engineering</v>
      </c>
      <c r="E24" t="str">
        <f>VLOOKUP(C24,'Project Status'!C:I,7,FALSE)</f>
        <v>1025 16th Avenue - Mechanical and Electrical Upgrades</v>
      </c>
      <c r="F24" s="107">
        <f>VLOOKUP(C24,'Project Status'!C:L,10,FALSE)</f>
        <v>0</v>
      </c>
      <c r="G24" s="108">
        <f>VLOOKUP(C24,'Project Status'!C:Q,15,FALSE)</f>
        <v>146500</v>
      </c>
      <c r="H24" s="128">
        <f>VLOOKUP(C24,'Project Status'!C:T,18,FALSE)</f>
        <v>35000</v>
      </c>
    </row>
    <row r="25" spans="1:8" x14ac:dyDescent="0.4">
      <c r="A25" s="109">
        <v>20</v>
      </c>
      <c r="B25" t="str">
        <f>VLOOKUP(C25,'Project Status'!C:J,8,FALSE)</f>
        <v>Design</v>
      </c>
      <c r="C25" s="61">
        <v>20668</v>
      </c>
      <c r="D25" s="27" t="str">
        <f>VLOOKUP(C25,'Project Status'!C:G,5,FALSE)</f>
        <v>Engineering</v>
      </c>
      <c r="E25" t="str">
        <f>VLOOKUP(C25,'Project Status'!C:I,7,FALSE)</f>
        <v>Keck FEL - Mechanical Upgrades</v>
      </c>
      <c r="F25" s="107">
        <f>VLOOKUP(C25,'Project Status'!C:L,10,FALSE)</f>
        <v>0</v>
      </c>
      <c r="G25" s="108">
        <f>VLOOKUP(C25,'Project Status'!C:Q,15,FALSE)</f>
        <v>206500</v>
      </c>
      <c r="H25" s="128">
        <f>VLOOKUP(C25,'Project Status'!C:T,18,FALSE)</f>
        <v>35000</v>
      </c>
    </row>
    <row r="26" spans="1:8" x14ac:dyDescent="0.4">
      <c r="A26" s="109">
        <v>21</v>
      </c>
      <c r="B26" t="str">
        <f>VLOOKUP(C26,'Project Status'!C:J,8,FALSE)</f>
        <v>Design</v>
      </c>
      <c r="C26" s="61">
        <v>20698</v>
      </c>
      <c r="D26" s="27" t="str">
        <f>VLOOKUP(C26,'Project Status'!C:G,5,FALSE)</f>
        <v>Arts &amp; Science</v>
      </c>
      <c r="E26" t="str">
        <f>VLOOKUP(C26,'Project Status'!C:I,7,FALSE)</f>
        <v>Wilson Hall - Fire Alarm Replacement</v>
      </c>
      <c r="F26" s="107">
        <f>VLOOKUP(C26,'Project Status'!C:L,10,FALSE)</f>
        <v>0</v>
      </c>
      <c r="G26" s="108">
        <f>VLOOKUP(C26,'Project Status'!C:Q,15,FALSE)</f>
        <v>29250</v>
      </c>
      <c r="H26" s="128">
        <f>VLOOKUP(C26,'Project Status'!C:T,18,FALSE)</f>
        <v>0</v>
      </c>
    </row>
    <row r="27" spans="1:8" x14ac:dyDescent="0.4">
      <c r="A27" s="109">
        <v>22</v>
      </c>
      <c r="B27" t="str">
        <f>VLOOKUP(C27,'Project Status'!C:J,8,FALSE)</f>
        <v>Construction</v>
      </c>
      <c r="C27" s="61">
        <v>20700</v>
      </c>
      <c r="D27" s="27" t="str">
        <f>VLOOKUP(C27,'Project Status'!C:G,5,FALSE)</f>
        <v>Arts &amp; Science</v>
      </c>
      <c r="E27" t="str">
        <f>VLOOKUP(C27,'Project Status'!C:I,7,FALSE)</f>
        <v>SC7 Chemistry - SG-1 Removal and Connection to Central Plant Steam</v>
      </c>
      <c r="F27" s="107">
        <f>VLOOKUP(C27,'Project Status'!C:L,10,FALSE)</f>
        <v>80000</v>
      </c>
      <c r="G27" s="108">
        <f>VLOOKUP(C27,'Project Status'!C:Q,15,FALSE)</f>
        <v>79623</v>
      </c>
      <c r="H27" s="128">
        <f>VLOOKUP(C27,'Project Status'!C:T,18,FALSE)</f>
        <v>0</v>
      </c>
    </row>
    <row r="28" spans="1:8" x14ac:dyDescent="0.4">
      <c r="A28" s="109">
        <v>23</v>
      </c>
      <c r="B28" t="str">
        <f>VLOOKUP(C28,'Project Status'!C:J,8,FALSE)</f>
        <v>Design</v>
      </c>
      <c r="C28" s="61">
        <v>20701</v>
      </c>
      <c r="D28" s="27" t="str">
        <f>VLOOKUP(C28,'Project Status'!C:G,5,FALSE)</f>
        <v>Arts &amp; Science</v>
      </c>
      <c r="E28" t="str">
        <f>VLOOKUP(C28,'Project Status'!C:I,7,FALSE)</f>
        <v>SC5 - Chemical Discharge Replacement</v>
      </c>
      <c r="F28" s="107">
        <f>VLOOKUP(C28,'Project Status'!C:L,10,FALSE)</f>
        <v>500000</v>
      </c>
      <c r="G28" s="108">
        <f>VLOOKUP(C28,'Project Status'!C:Q,15,FALSE)</f>
        <v>499093</v>
      </c>
      <c r="H28" s="128">
        <f>VLOOKUP(C28,'Project Status'!C:T,18,FALSE)</f>
        <v>0</v>
      </c>
    </row>
    <row r="29" spans="1:8" x14ac:dyDescent="0.4">
      <c r="A29" s="109">
        <v>24</v>
      </c>
      <c r="B29" t="str">
        <f>VLOOKUP(C29,'Project Status'!C:J,8,FALSE)</f>
        <v>Warranty or Construction Closeout</v>
      </c>
      <c r="C29" s="61">
        <v>20702</v>
      </c>
      <c r="D29" s="27" t="str">
        <f>VLOOKUP(C29,'Project Status'!C:G,5,FALSE)</f>
        <v>Peabody</v>
      </c>
      <c r="E29" t="str">
        <f>VLOOKUP(C29,'Project Status'!C:I,7,FALSE)</f>
        <v>Wyatt Center - Elevator #2 Modernization</v>
      </c>
      <c r="F29" s="107">
        <f>VLOOKUP(C29,'Project Status'!C:L,10,FALSE)</f>
        <v>225791</v>
      </c>
      <c r="G29" s="108">
        <f>VLOOKUP(C29,'Project Status'!C:Q,15,FALSE)</f>
        <v>239341</v>
      </c>
      <c r="H29" s="128">
        <f>VLOOKUP(C29,'Project Status'!C:T,18,FALSE)</f>
        <v>0</v>
      </c>
    </row>
    <row r="30" spans="1:8" x14ac:dyDescent="0.4">
      <c r="A30" s="109">
        <v>25</v>
      </c>
      <c r="B30" t="str">
        <f>VLOOKUP(C30,'Project Status'!C:J,8,FALSE)</f>
        <v>Construction</v>
      </c>
      <c r="C30" s="61">
        <v>20718</v>
      </c>
      <c r="D30" s="27" t="str">
        <f>VLOOKUP(C30,'Project Status'!C:G,5,FALSE)</f>
        <v>Arts &amp; Science</v>
      </c>
      <c r="E30" t="str">
        <f>VLOOKUP(C30,'Project Status'!C:I,7,FALSE)</f>
        <v>Buttrick Hall - 3rd Floor Inequality Renovations</v>
      </c>
      <c r="F30" s="107">
        <f>VLOOKUP(C30,'Project Status'!C:L,10,FALSE)</f>
        <v>715000</v>
      </c>
      <c r="G30" s="108">
        <f>VLOOKUP(C30,'Project Status'!C:Q,15,FALSE)</f>
        <v>96166</v>
      </c>
      <c r="H30" s="128">
        <f>VLOOKUP(C30,'Project Status'!C:T,18,FALSE)</f>
        <v>0</v>
      </c>
    </row>
    <row r="31" spans="1:8" x14ac:dyDescent="0.4">
      <c r="A31" s="109">
        <v>26</v>
      </c>
      <c r="B31" t="str">
        <f>VLOOKUP(C31,'Project Status'!C:J,8,FALSE)</f>
        <v>Construction</v>
      </c>
      <c r="C31" s="61">
        <v>20723</v>
      </c>
      <c r="D31" s="27" t="str">
        <f>VLOOKUP(C31,'Project Status'!C:G,5,FALSE)</f>
        <v>SOM Basic Sciences</v>
      </c>
      <c r="E31" t="str">
        <f>VLOOKUP(C31,'Project Status'!C:I,7,FALSE)</f>
        <v>MRB III - 9th Floor (with 4 ,5 &amp; 8) - Replace Controls (Phase 3)</v>
      </c>
      <c r="F31" s="107">
        <f>VLOOKUP(C31,'Project Status'!C:L,10,FALSE)</f>
        <v>1500000</v>
      </c>
      <c r="G31" s="108">
        <f>VLOOKUP(C31,'Project Status'!C:Q,15,FALSE)</f>
        <v>160500</v>
      </c>
      <c r="H31" s="128">
        <f>VLOOKUP(C31,'Project Status'!C:T,18,FALSE)</f>
        <v>1339500</v>
      </c>
    </row>
    <row r="32" spans="1:8" x14ac:dyDescent="0.4">
      <c r="A32" s="109">
        <v>27</v>
      </c>
      <c r="B32" t="str">
        <f>VLOOKUP(C32,'Project Status'!C:J,8,FALSE)</f>
        <v>Design</v>
      </c>
      <c r="C32" s="61">
        <v>20724</v>
      </c>
      <c r="D32" s="27" t="str">
        <f>VLOOKUP(C32,'Project Status'!C:G,5,FALSE)</f>
        <v>Blair</v>
      </c>
      <c r="E32" t="str">
        <f>VLOOKUP(C32,'Project Status'!C:I,7,FALSE)</f>
        <v>Blair School of Music - Steam Line</v>
      </c>
      <c r="F32" s="107">
        <f>VLOOKUP(C32,'Project Status'!C:L,10,FALSE)</f>
        <v>1500000</v>
      </c>
      <c r="G32" s="108">
        <f>VLOOKUP(C32,'Project Status'!C:Q,15,FALSE)</f>
        <v>23400</v>
      </c>
      <c r="H32" s="128">
        <f>VLOOKUP(C32,'Project Status'!C:T,18,FALSE)</f>
        <v>1476600</v>
      </c>
    </row>
    <row r="33" spans="1:8" x14ac:dyDescent="0.4">
      <c r="A33" s="109">
        <v>28</v>
      </c>
      <c r="B33" t="str">
        <f>VLOOKUP(C33,'Project Status'!C:J,8,FALSE)</f>
        <v>Construction</v>
      </c>
      <c r="C33" s="61">
        <v>20735</v>
      </c>
      <c r="D33" s="27" t="str">
        <f>VLOOKUP(C33,'Project Status'!C:G,5,FALSE)</f>
        <v>Owen</v>
      </c>
      <c r="E33" t="str">
        <f>VLOOKUP(C33,'Project Status'!C:I,7,FALSE)</f>
        <v>Owen - Roof Replacement (Third Level)</v>
      </c>
      <c r="F33" s="107">
        <f>VLOOKUP(C33,'Project Status'!C:L,10,FALSE)</f>
        <v>300000</v>
      </c>
      <c r="G33" s="108">
        <f>VLOOKUP(C33,'Project Status'!C:Q,15,FALSE)</f>
        <v>300000</v>
      </c>
      <c r="H33" s="128">
        <f>VLOOKUP(C33,'Project Status'!C:T,18,FALSE)</f>
        <v>0</v>
      </c>
    </row>
    <row r="34" spans="1:8" x14ac:dyDescent="0.4">
      <c r="A34" s="109">
        <v>29</v>
      </c>
      <c r="B34" t="str">
        <f>VLOOKUP(C34,'Project Status'!C:J,8,FALSE)</f>
        <v>Design</v>
      </c>
      <c r="C34" s="61">
        <v>20767</v>
      </c>
      <c r="D34" s="27" t="str">
        <f>VLOOKUP(C34,'Project Status'!C:G,5,FALSE)</f>
        <v>Peabody</v>
      </c>
      <c r="E34" t="str">
        <f>VLOOKUP(C34,'Project Status'!C:I,7,FALSE)</f>
        <v>Six Magnolia Circle - Foundation Repairs</v>
      </c>
      <c r="F34" s="107">
        <f>VLOOKUP(C34,'Project Status'!C:L,10,FALSE)</f>
        <v>0</v>
      </c>
      <c r="G34" s="108">
        <f>VLOOKUP(C34,'Project Status'!C:Q,15,FALSE)</f>
        <v>0</v>
      </c>
      <c r="H34" s="128">
        <f>VLOOKUP(C34,'Project Status'!C:T,18,FALSE)</f>
        <v>35000</v>
      </c>
    </row>
    <row r="35" spans="1:8" x14ac:dyDescent="0.4">
      <c r="A35" s="109">
        <v>30</v>
      </c>
      <c r="B35" t="str">
        <f>VLOOKUP(C35,'Project Status'!C:J,8,FALSE)</f>
        <v>Finalized</v>
      </c>
      <c r="C35" s="61">
        <v>20771</v>
      </c>
      <c r="D35" s="27" t="str">
        <f>VLOOKUP(C35,'Project Status'!C:G,5,FALSE)</f>
        <v>Arts &amp; Science</v>
      </c>
      <c r="E35" t="str">
        <f>VLOOKUP(C35,'Project Status'!C:I,7,FALSE)</f>
        <v>SC4 - Interstitial Space HVAC Modifications</v>
      </c>
      <c r="F35" s="107">
        <f>VLOOKUP(C35,'Project Status'!C:L,10,FALSE)</f>
        <v>25000</v>
      </c>
      <c r="G35" s="108">
        <f>VLOOKUP(C35,'Project Status'!C:Q,15,FALSE)</f>
        <v>24997</v>
      </c>
      <c r="H35" s="128">
        <f>VLOOKUP(C35,'Project Status'!C:T,18,FALSE)</f>
        <v>0</v>
      </c>
    </row>
    <row r="36" spans="1:8" x14ac:dyDescent="0.4">
      <c r="A36" s="109">
        <v>31</v>
      </c>
      <c r="B36" t="str">
        <f>VLOOKUP(C36,'Project Status'!C:J,8,FALSE)</f>
        <v>Programming or Planning</v>
      </c>
      <c r="C36" s="61">
        <v>20772</v>
      </c>
      <c r="D36" s="27" t="str">
        <f>VLOOKUP(C36,'Project Status'!C:G,5,FALSE)</f>
        <v>Owen</v>
      </c>
      <c r="E36" t="str">
        <f>VLOOKUP(C36,'Project Status'!C:I,7,FALSE)</f>
        <v>Owen - Roof Replacement (Slate Portion)</v>
      </c>
      <c r="F36" s="107">
        <f>VLOOKUP(C36,'Project Status'!C:L,10,FALSE)</f>
        <v>0</v>
      </c>
      <c r="G36" s="108">
        <f>VLOOKUP(C36,'Project Status'!C:Q,15,FALSE)</f>
        <v>0</v>
      </c>
      <c r="H36" s="128">
        <f>VLOOKUP(C36,'Project Status'!C:T,18,FALSE)</f>
        <v>0</v>
      </c>
    </row>
    <row r="37" spans="1:8" x14ac:dyDescent="0.4">
      <c r="A37" s="109">
        <v>32</v>
      </c>
      <c r="B37" t="str">
        <f>VLOOKUP(C37,'Project Status'!C:J,8,FALSE)</f>
        <v>Construction</v>
      </c>
      <c r="C37" s="61">
        <v>20792</v>
      </c>
      <c r="D37" s="27" t="str">
        <f>VLOOKUP(C37,'Project Status'!C:G,5,FALSE)</f>
        <v>Law</v>
      </c>
      <c r="E37" t="str">
        <f>VLOOKUP(C37,'Project Status'!C:I,7,FALSE)</f>
        <v>Law School - Sections 1, 2, &amp; 3  Roof Replacement</v>
      </c>
      <c r="F37" s="107">
        <f>VLOOKUP(C37,'Project Status'!C:L,10,FALSE)</f>
        <v>400000</v>
      </c>
      <c r="G37" s="108">
        <f>VLOOKUP(C37,'Project Status'!C:Q,15,FALSE)</f>
        <v>483440</v>
      </c>
      <c r="H37" s="128">
        <f>VLOOKUP(C37,'Project Status'!C:T,18,FALSE)</f>
        <v>0</v>
      </c>
    </row>
    <row r="38" spans="1:8" x14ac:dyDescent="0.4">
      <c r="A38" s="109">
        <v>33</v>
      </c>
      <c r="B38" t="str">
        <f>VLOOKUP(C38,'Project Status'!C:J,8,FALSE)</f>
        <v>Design</v>
      </c>
      <c r="C38" s="61">
        <v>20832</v>
      </c>
      <c r="D38" s="27" t="str">
        <f>VLOOKUP(C38,'Project Status'!C:G,5,FALSE)</f>
        <v>Arts &amp; Science</v>
      </c>
      <c r="E38" t="str">
        <f>VLOOKUP(C38,'Project Status'!C:I,7,FALSE)</f>
        <v>Wilson Hall - HVAC Replacement</v>
      </c>
      <c r="F38" s="107">
        <f>VLOOKUP(C38,'Project Status'!C:L,10,FALSE)</f>
        <v>0</v>
      </c>
      <c r="G38" s="108">
        <f>VLOOKUP(C38,'Project Status'!C:Q,15,FALSE)</f>
        <v>0</v>
      </c>
      <c r="H38" s="128">
        <f>VLOOKUP(C38,'Project Status'!C:T,18,FALSE)</f>
        <v>0</v>
      </c>
    </row>
    <row r="39" spans="1:8" x14ac:dyDescent="0.4">
      <c r="A39" s="109">
        <v>34</v>
      </c>
      <c r="B39" t="str">
        <f>VLOOKUP(C39,'Project Status'!C:J,8,FALSE)</f>
        <v>Not Started</v>
      </c>
      <c r="C39" s="61">
        <v>20833</v>
      </c>
      <c r="D39" s="27" t="str">
        <f>VLOOKUP(C39,'Project Status'!C:G,5,FALSE)</f>
        <v>Arts &amp; Science</v>
      </c>
      <c r="E39" t="str">
        <f>VLOOKUP(C39,'Project Status'!C:I,7,FALSE)</f>
        <v>SC5 - HVAC Replacement</v>
      </c>
      <c r="F39" s="107">
        <f>VLOOKUP(C39,'Project Status'!C:L,10,FALSE)</f>
        <v>0</v>
      </c>
      <c r="G39" s="108">
        <f>VLOOKUP(C39,'Project Status'!C:Q,15,FALSE)</f>
        <v>0</v>
      </c>
      <c r="H39" s="128">
        <f>VLOOKUP(C39,'Project Status'!C:T,18,FALSE)</f>
        <v>0</v>
      </c>
    </row>
    <row r="40" spans="1:8" s="20" customFormat="1" x14ac:dyDescent="0.4">
      <c r="F40" s="82">
        <f>SUM(F6:F39)</f>
        <v>28679242.759999998</v>
      </c>
      <c r="G40" s="83">
        <f>SUM(G6:G39)</f>
        <v>8797286.2599999998</v>
      </c>
      <c r="H40" s="129">
        <f>SUM(H6:H39)</f>
        <v>7680137.5</v>
      </c>
    </row>
    <row r="41" spans="1:8" s="20" customFormat="1" x14ac:dyDescent="0.4">
      <c r="F41" s="76"/>
      <c r="G41" s="76"/>
      <c r="H41" s="76"/>
    </row>
  </sheetData>
  <sortState xmlns:xlrd2="http://schemas.microsoft.com/office/spreadsheetml/2017/richdata2" ref="B6:G27">
    <sortCondition ref="B6:B27"/>
    <sortCondition ref="D6:D27"/>
  </sortState>
  <pageMargins left="0.7" right="0.7" top="0.75" bottom="0.75" header="0.3" footer="0.3"/>
  <pageSetup paperSize="5" scale="95" fitToWidth="0" orientation="landscape" horizontalDpi="4294967295" verticalDpi="4294967295"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357-549C-4FEC-8BC9-4BF6B7556E12}">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4.69140625" bestFit="1" customWidth="1"/>
    <col min="3" max="3" width="6.69140625" bestFit="1" customWidth="1"/>
    <col min="4" max="4" width="40.15234375" bestFit="1" customWidth="1"/>
    <col min="5" max="5" width="64.3046875" bestFit="1" customWidth="1"/>
    <col min="6" max="6" width="12.3828125" bestFit="1" customWidth="1"/>
    <col min="7" max="7" width="12.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20700</v>
      </c>
      <c r="B4" s="11">
        <f>VLOOKUP(A4,'Project Status'!C:D,2,FALSE)</f>
        <v>851</v>
      </c>
      <c r="C4" s="11">
        <f>VLOOKUP(A4,'Project Status'!C:E,3,FALSE)</f>
        <v>0</v>
      </c>
      <c r="D4" s="11" t="str">
        <f>VLOOKUP(A4,'Project Status'!C:F,4,FALSE)</f>
        <v>12000 - Arts and Science: Office of the Dean</v>
      </c>
      <c r="E4" s="11" t="str">
        <f>VLOOKUP(A4,'Project Status'!C:I,7,FALSE)</f>
        <v>SC7 Chemistry - SG-1 Removal and Connection to Central Plant Steam</v>
      </c>
      <c r="F4" s="11" t="str">
        <f>VLOOKUP(A4,'Project Status'!C:J,8,FALSE)</f>
        <v>Construction</v>
      </c>
      <c r="G4" s="11" t="str">
        <f>VLOOKUP(A4,'Project Status'!C:K,9,FALSE)</f>
        <v>Sean Rewers</v>
      </c>
      <c r="H4" s="100">
        <f>VLOOKUP(A4,'Project Status'!C:M,11,FALSE)</f>
        <v>79623</v>
      </c>
    </row>
    <row r="8" spans="1:11" x14ac:dyDescent="0.4">
      <c r="E8" s="43" t="s">
        <v>126</v>
      </c>
    </row>
    <row r="9" spans="1:11" x14ac:dyDescent="0.4">
      <c r="E9" s="22" t="s">
        <v>230</v>
      </c>
      <c r="F9" s="35" t="s">
        <v>141</v>
      </c>
      <c r="H9" s="111">
        <v>2500</v>
      </c>
    </row>
    <row r="10" spans="1:11" x14ac:dyDescent="0.4">
      <c r="E10" s="22" t="s">
        <v>261</v>
      </c>
      <c r="F10" t="s">
        <v>141</v>
      </c>
      <c r="H10" s="44">
        <v>77123</v>
      </c>
    </row>
    <row r="18" spans="5:8" x14ac:dyDescent="0.4">
      <c r="E18" s="163" t="s">
        <v>280</v>
      </c>
      <c r="F18" s="164"/>
      <c r="G18" s="163"/>
      <c r="H18" s="165">
        <f>SUM(H9:H17)</f>
        <v>79623</v>
      </c>
    </row>
    <row r="20" spans="5:8" x14ac:dyDescent="0.4">
      <c r="E20" s="166" t="s">
        <v>138</v>
      </c>
      <c r="F20" s="166"/>
      <c r="G20" s="166"/>
      <c r="H20" s="167">
        <f>H4-H18</f>
        <v>0</v>
      </c>
    </row>
  </sheetData>
  <hyperlinks>
    <hyperlink ref="K1" location="'Project Status'!A1" display="'Project Status'!A1" xr:uid="{5C3C34A0-1189-4174-89EA-A505915DF0CB}"/>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22EE-F30F-4805-ABE6-0899D66A2DAE}">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6.53515625" bestFit="1" customWidth="1"/>
    <col min="6" max="6" width="6.69140625" bestFit="1" customWidth="1"/>
    <col min="7" max="7" width="12.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20701</v>
      </c>
      <c r="B4" s="11">
        <f>VLOOKUP(A4,'Project Status'!C:D,2,FALSE)</f>
        <v>4399</v>
      </c>
      <c r="C4" s="11" t="str">
        <f>VLOOKUP(A4,'Project Status'!C:E,3,FALSE)</f>
        <v>CP_400198</v>
      </c>
      <c r="D4" s="11" t="str">
        <f>VLOOKUP(A4,'Project Status'!C:F,4,FALSE)</f>
        <v>12000 - Arts and Science: Office of the Dean</v>
      </c>
      <c r="E4" s="11" t="str">
        <f>VLOOKUP(A4,'Project Status'!C:I,7,FALSE)</f>
        <v>SC5 - Chemical Discharge Replacement</v>
      </c>
      <c r="F4" s="11" t="str">
        <f>VLOOKUP(A4,'Project Status'!C:J,8,FALSE)</f>
        <v>Design</v>
      </c>
      <c r="G4" s="11" t="str">
        <f>VLOOKUP(A4,'Project Status'!C:K,9,FALSE)</f>
        <v>Sean Rewers</v>
      </c>
      <c r="H4" s="100">
        <f>VLOOKUP(A4,'Project Status'!C:M,11,FALSE)</f>
        <v>499093</v>
      </c>
    </row>
    <row r="8" spans="1:11" x14ac:dyDescent="0.4">
      <c r="E8" s="43" t="s">
        <v>126</v>
      </c>
    </row>
    <row r="9" spans="1:11" x14ac:dyDescent="0.4">
      <c r="E9" s="22" t="s">
        <v>281</v>
      </c>
      <c r="F9" s="35" t="s">
        <v>141</v>
      </c>
      <c r="H9" s="111">
        <v>499093</v>
      </c>
    </row>
    <row r="10" spans="1:11" x14ac:dyDescent="0.4">
      <c r="E10" s="22"/>
      <c r="H10" s="44"/>
    </row>
    <row r="18" spans="5:8" x14ac:dyDescent="0.4">
      <c r="E18" s="163" t="s">
        <v>280</v>
      </c>
      <c r="F18" s="164"/>
      <c r="G18" s="163"/>
      <c r="H18" s="165">
        <f>SUM(H9:H17)</f>
        <v>499093</v>
      </c>
    </row>
    <row r="20" spans="5:8" x14ac:dyDescent="0.4">
      <c r="E20" s="166" t="s">
        <v>138</v>
      </c>
      <c r="F20" s="166"/>
      <c r="G20" s="166"/>
      <c r="H20" s="167">
        <f>H4-H18</f>
        <v>0</v>
      </c>
    </row>
  </sheetData>
  <hyperlinks>
    <hyperlink ref="K1" location="'Project Status'!A1" display="'Project Status'!A1" xr:uid="{9E262A90-B31F-4C48-BD8B-B68FC8054AFA}"/>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735-E852-4C21-8C85-F2DAC3418676}">
  <sheetPr>
    <tabColor theme="8"/>
  </sheetPr>
  <dimension ref="A1:K20"/>
  <sheetViews>
    <sheetView zoomScale="90" zoomScaleNormal="90" workbookViewId="0">
      <selection activeCell="K1" sqref="K1"/>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38.3828125" bestFit="1" customWidth="1"/>
    <col min="6" max="6" width="30.53515625" bestFit="1" customWidth="1"/>
    <col min="7" max="7" width="11.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20702</v>
      </c>
      <c r="B4" s="11">
        <f>VLOOKUP(A4,'Project Status'!C:D,2,FALSE)</f>
        <v>8432</v>
      </c>
      <c r="C4" s="11" t="str">
        <f>VLOOKUP(A4,'Project Status'!C:E,3,FALSE)</f>
        <v>CP_400165</v>
      </c>
      <c r="D4" s="11" t="str">
        <f>VLOOKUP(A4,'Project Status'!C:F,4,FALSE)</f>
        <v>21000 - Peabody College: Office of the Dean</v>
      </c>
      <c r="E4" s="11" t="str">
        <f>VLOOKUP(A4,'Project Status'!C:I,7,FALSE)</f>
        <v>Wyatt Center - Elevator #2 Modernization</v>
      </c>
      <c r="F4" s="11" t="str">
        <f>VLOOKUP(A4,'Project Status'!C:J,8,FALSE)</f>
        <v>Warranty or Construction Closeout</v>
      </c>
      <c r="G4" s="11" t="str">
        <f>VLOOKUP(A4,'Project Status'!C:K,9,FALSE)</f>
        <v>Ben Bedock</v>
      </c>
      <c r="H4" s="100">
        <f>VLOOKUP(A4,'Project Status'!C:M,11,FALSE)</f>
        <v>239341</v>
      </c>
    </row>
    <row r="8" spans="1:11" x14ac:dyDescent="0.4">
      <c r="E8" s="43" t="s">
        <v>126</v>
      </c>
    </row>
    <row r="9" spans="1:11" x14ac:dyDescent="0.4">
      <c r="E9" s="22" t="s">
        <v>219</v>
      </c>
      <c r="F9" s="35" t="s">
        <v>141</v>
      </c>
      <c r="H9" s="44">
        <v>13550</v>
      </c>
    </row>
    <row r="10" spans="1:11" x14ac:dyDescent="0.4">
      <c r="E10" s="22" t="s">
        <v>237</v>
      </c>
      <c r="F10" t="s">
        <v>218</v>
      </c>
      <c r="H10" s="44">
        <v>225791</v>
      </c>
    </row>
    <row r="18" spans="5:8" x14ac:dyDescent="0.4">
      <c r="E18" s="163" t="s">
        <v>280</v>
      </c>
      <c r="F18" s="164"/>
      <c r="G18" s="163"/>
      <c r="H18" s="165">
        <f>SUM(H9:H17)</f>
        <v>239341</v>
      </c>
    </row>
    <row r="20" spans="5:8" x14ac:dyDescent="0.4">
      <c r="E20" s="166" t="s">
        <v>138</v>
      </c>
      <c r="F20" s="166"/>
      <c r="G20" s="166"/>
      <c r="H20" s="167">
        <f>H4-H18</f>
        <v>0</v>
      </c>
    </row>
  </sheetData>
  <hyperlinks>
    <hyperlink ref="K1" location="'Project Status'!A1" display="'Project Status'!A1" xr:uid="{2FC6B3AC-6ED8-47FB-9F2B-DB62EB3B1C7C}"/>
  </hyperlinks>
  <pageMargins left="0.7" right="0.7" top="0.75" bottom="0.75" header="0.3" footer="0.3"/>
  <pageSetup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39D3-9962-49A5-8528-110A080E1E42}">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3.3828125" bestFit="1" customWidth="1"/>
    <col min="6" max="6" width="17.15234375" bestFit="1" customWidth="1"/>
    <col min="7" max="7" width="8.843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20718</v>
      </c>
      <c r="B4" s="11">
        <f>VLOOKUP(A4,'Project Status'!C:D,2,FALSE)</f>
        <v>8608</v>
      </c>
      <c r="C4" s="11" t="str">
        <f>VLOOKUP(A4,'Project Status'!C:E,3,FALSE)</f>
        <v>CP_400174</v>
      </c>
      <c r="D4" s="11" t="str">
        <f>VLOOKUP(A4,'Project Status'!C:F,4,FALSE)</f>
        <v>12000 - Arts and Science: Office of the Dean</v>
      </c>
      <c r="E4" s="11" t="str">
        <f>VLOOKUP(A4,'Project Status'!C:I,7,FALSE)</f>
        <v>Buttrick Hall - 3rd Floor Inequality Renovations</v>
      </c>
      <c r="F4" s="11" t="str">
        <f>VLOOKUP(A4,'Project Status'!C:J,8,FALSE)</f>
        <v>Construction</v>
      </c>
      <c r="G4" s="11" t="str">
        <f>VLOOKUP(A4,'Project Status'!C:K,9,FALSE)</f>
        <v>Erin Fry</v>
      </c>
      <c r="H4" s="100">
        <f>VLOOKUP(A4,'Project Status'!C:M,11,FALSE)</f>
        <v>715000</v>
      </c>
    </row>
    <row r="8" spans="1:11" x14ac:dyDescent="0.4">
      <c r="E8" s="43" t="s">
        <v>126</v>
      </c>
    </row>
    <row r="9" spans="1:11" x14ac:dyDescent="0.4">
      <c r="E9" s="22" t="s">
        <v>296</v>
      </c>
      <c r="F9" s="35" t="s">
        <v>295</v>
      </c>
      <c r="H9" s="44">
        <v>96166</v>
      </c>
    </row>
    <row r="10" spans="1:11" x14ac:dyDescent="0.4">
      <c r="E10" s="22"/>
      <c r="F10" s="20" t="s">
        <v>298</v>
      </c>
      <c r="H10" s="44"/>
    </row>
    <row r="11" spans="1:11" x14ac:dyDescent="0.4">
      <c r="E11" s="34" t="s">
        <v>300</v>
      </c>
      <c r="H11" s="110">
        <f>715000-96166</f>
        <v>618834</v>
      </c>
    </row>
    <row r="13" spans="1:11" x14ac:dyDescent="0.4">
      <c r="H13" s="46">
        <f>SUM(H9:H11)</f>
        <v>715000</v>
      </c>
    </row>
    <row r="18" spans="5:8" x14ac:dyDescent="0.4">
      <c r="E18" s="163" t="s">
        <v>280</v>
      </c>
      <c r="F18" s="164"/>
      <c r="G18" s="163"/>
      <c r="H18" s="165">
        <f>H9</f>
        <v>96166</v>
      </c>
    </row>
    <row r="20" spans="5:8" x14ac:dyDescent="0.4">
      <c r="E20" s="166" t="s">
        <v>138</v>
      </c>
      <c r="F20" s="166"/>
      <c r="G20" s="166"/>
      <c r="H20" s="167">
        <f>H4-H13</f>
        <v>0</v>
      </c>
    </row>
  </sheetData>
  <hyperlinks>
    <hyperlink ref="K1" location="'Project Status'!A1" display="'Project Status'!A1" xr:uid="{541B30AA-96EE-402C-BCCD-62B014152731}"/>
  </hyperlinks>
  <pageMargins left="0.7" right="0.7" top="0.75" bottom="0.75" header="0.3" footer="0.3"/>
  <pageSetup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BC0-638E-4F8A-ADCC-2DF5A65FA44D}">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46.84375" bestFit="1" customWidth="1"/>
    <col min="6" max="6" width="22.69140625" bestFit="1" customWidth="1"/>
    <col min="7" max="7" width="11"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20723</v>
      </c>
      <c r="B4" s="11">
        <f>VLOOKUP(A4,'Project Status'!C:D,2,FALSE)</f>
        <v>1628</v>
      </c>
      <c r="C4" s="11" t="str">
        <f>VLOOKUP(A4,'Project Status'!C:E,3,FALSE)</f>
        <v>CP_400187</v>
      </c>
      <c r="D4" s="11" t="str">
        <f>VLOOKUP(A4,'Project Status'!C:F,4,FALSE)</f>
        <v>18200 - Basic Sciences: Office of the Dean</v>
      </c>
      <c r="E4" s="11" t="str">
        <f>VLOOKUP(A4,'Project Status'!C:I,7,FALSE)</f>
        <v>MRB III - 9th Floor (with 4 ,5 &amp; 8) - Replace Controls (Phase 3)</v>
      </c>
      <c r="F4" s="11" t="str">
        <f>VLOOKUP(A4,'Project Status'!C:J,8,FALSE)</f>
        <v>Construction</v>
      </c>
      <c r="G4" s="11" t="str">
        <f>VLOOKUP(A4,'Project Status'!C:K,9,FALSE)</f>
        <v>Hans Mooy</v>
      </c>
      <c r="H4" s="100">
        <f>VLOOKUP(A4,'Project Status'!C:M,11,FALSE)</f>
        <v>160500</v>
      </c>
    </row>
    <row r="8" spans="1:11" x14ac:dyDescent="0.4">
      <c r="E8" s="43" t="s">
        <v>126</v>
      </c>
    </row>
    <row r="9" spans="1:11" x14ac:dyDescent="0.4">
      <c r="E9" s="22" t="s">
        <v>261</v>
      </c>
      <c r="F9" s="35"/>
      <c r="H9" s="44">
        <v>24500</v>
      </c>
    </row>
    <row r="10" spans="1:11" x14ac:dyDescent="0.4">
      <c r="E10" s="22" t="s">
        <v>281</v>
      </c>
      <c r="H10" s="44">
        <v>136000</v>
      </c>
    </row>
    <row r="18" spans="5:8" x14ac:dyDescent="0.4">
      <c r="E18" s="163" t="s">
        <v>280</v>
      </c>
      <c r="F18" s="164"/>
      <c r="G18" s="163"/>
      <c r="H18" s="165">
        <f>SUM(H9:H17)</f>
        <v>160500</v>
      </c>
    </row>
    <row r="20" spans="5:8" x14ac:dyDescent="0.4">
      <c r="E20" s="166" t="s">
        <v>138</v>
      </c>
      <c r="F20" s="166"/>
      <c r="G20" s="166"/>
      <c r="H20" s="167">
        <f>H4-H18</f>
        <v>0</v>
      </c>
    </row>
  </sheetData>
  <hyperlinks>
    <hyperlink ref="K1" location="'Project Status'!A1" display="'Project Status'!A1" xr:uid="{128B9945-69C0-4655-8F8F-40479B01E1EA}"/>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4BCB-5185-4C39-8B51-1BC498DCD04B}">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31.3046875" bestFit="1" customWidth="1"/>
    <col min="6" max="6" width="7" bestFit="1" customWidth="1"/>
    <col min="7" max="7" width="11"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20724</v>
      </c>
      <c r="B4" s="11">
        <f>VLOOKUP(A4,'Project Status'!C:D,2,FALSE)</f>
        <v>8557</v>
      </c>
      <c r="C4" s="11" t="str">
        <f>VLOOKUP(A4,'Project Status'!C:E,3,FALSE)</f>
        <v>CP_400178</v>
      </c>
      <c r="D4" s="11" t="str">
        <f>VLOOKUP(A4,'Project Status'!C:F,4,FALSE)</f>
        <v>13000 - Blair: Office of the Dean</v>
      </c>
      <c r="E4" s="11" t="str">
        <f>VLOOKUP(A4,'Project Status'!C:I,7,FALSE)</f>
        <v>Blair School of Music - Steam Line</v>
      </c>
      <c r="F4" s="11" t="str">
        <f>VLOOKUP(A4,'Project Status'!C:J,8,FALSE)</f>
        <v>Design</v>
      </c>
      <c r="G4" s="11" t="str">
        <f>VLOOKUP(A4,'Project Status'!C:K,9,FALSE)</f>
        <v>Hans Mooy</v>
      </c>
      <c r="H4" s="100">
        <f>VLOOKUP(A4,'Project Status'!C:M,11,FALSE)</f>
        <v>23400</v>
      </c>
    </row>
    <row r="8" spans="1:11" x14ac:dyDescent="0.4">
      <c r="E8" s="43" t="s">
        <v>126</v>
      </c>
    </row>
    <row r="9" spans="1:11" x14ac:dyDescent="0.4">
      <c r="E9" t="s">
        <v>244</v>
      </c>
      <c r="F9" t="s">
        <v>141</v>
      </c>
      <c r="H9" s="44">
        <v>23400</v>
      </c>
    </row>
    <row r="12" spans="1:11" x14ac:dyDescent="0.4">
      <c r="F12" s="10"/>
      <c r="G12" s="10"/>
      <c r="H12" s="47"/>
    </row>
    <row r="18" spans="5:8" x14ac:dyDescent="0.4">
      <c r="E18" s="163" t="s">
        <v>280</v>
      </c>
      <c r="F18" s="164"/>
      <c r="G18" s="163"/>
      <c r="H18" s="165">
        <f>SUM(H9:H17)</f>
        <v>23400</v>
      </c>
    </row>
    <row r="20" spans="5:8" x14ac:dyDescent="0.4">
      <c r="E20" s="166" t="s">
        <v>138</v>
      </c>
      <c r="F20" s="166"/>
      <c r="G20" s="166"/>
      <c r="H20" s="167">
        <f>H4-H18</f>
        <v>0</v>
      </c>
    </row>
  </sheetData>
  <hyperlinks>
    <hyperlink ref="K1" location="'Project Status'!A1" display="'Project Status'!A1" xr:uid="{8E337751-EDF1-4608-B301-35648AFC4573}"/>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D17C-4074-4FF4-8E38-15D4DF4E220C}">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12.3828125" bestFit="1" customWidth="1"/>
    <col min="7" max="7" width="11.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20735</v>
      </c>
      <c r="B4" s="11">
        <f>VLOOKUP(A4,'Project Status'!C:D,2,FALSE)</f>
        <v>8226</v>
      </c>
      <c r="C4" s="11">
        <f>VLOOKUP(A4,'Project Status'!C:E,3,FALSE)</f>
        <v>0</v>
      </c>
      <c r="D4" s="11" t="str">
        <f>VLOOKUP(A4,'Project Status'!C:F,4,FALSE)</f>
        <v>20000 - Owen: Office of the Dean</v>
      </c>
      <c r="E4" s="11" t="str">
        <f>VLOOKUP(A4,'Project Status'!C:I,7,FALSE)</f>
        <v>Owen - Roof Replacement (Third Level)</v>
      </c>
      <c r="F4" s="11" t="str">
        <f>VLOOKUP(A4,'Project Status'!C:J,8,FALSE)</f>
        <v>Construction</v>
      </c>
      <c r="G4" s="11" t="str">
        <f>VLOOKUP(A4,'Project Status'!C:K,9,FALSE)</f>
        <v>Ben Bedock</v>
      </c>
      <c r="H4" s="100">
        <f>VLOOKUP(A4,'Project Status'!C:M,11,FALSE)</f>
        <v>300000</v>
      </c>
    </row>
    <row r="8" spans="1:11" x14ac:dyDescent="0.4">
      <c r="E8" s="43" t="s">
        <v>126</v>
      </c>
    </row>
    <row r="9" spans="1:11" x14ac:dyDescent="0.4">
      <c r="E9" s="22" t="s">
        <v>288</v>
      </c>
      <c r="F9" t="s">
        <v>141</v>
      </c>
      <c r="H9" s="44">
        <v>300000</v>
      </c>
    </row>
    <row r="10" spans="1:11" x14ac:dyDescent="0.4">
      <c r="E10" s="22"/>
    </row>
    <row r="12" spans="1:11" x14ac:dyDescent="0.4">
      <c r="F12" s="10"/>
      <c r="G12" s="10"/>
      <c r="H12" s="47"/>
    </row>
    <row r="18" spans="5:8" x14ac:dyDescent="0.4">
      <c r="E18" s="163" t="s">
        <v>280</v>
      </c>
      <c r="F18" s="164"/>
      <c r="G18" s="163"/>
      <c r="H18" s="165">
        <f>SUM(H9:H17)</f>
        <v>300000</v>
      </c>
    </row>
    <row r="20" spans="5:8" x14ac:dyDescent="0.4">
      <c r="E20" s="166" t="s">
        <v>138</v>
      </c>
      <c r="F20" s="166"/>
      <c r="G20" s="166"/>
      <c r="H20" s="167">
        <f>H4-H18</f>
        <v>0</v>
      </c>
    </row>
  </sheetData>
  <hyperlinks>
    <hyperlink ref="K1" location="'Project Status'!A1" display="'Project Status'!A1" xr:uid="{A4399369-1559-421B-AF40-A08546DD82BC}"/>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AF16-AAC1-4BC8-A3CB-44690025FB6D}">
  <sheetPr>
    <tabColor theme="8"/>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39.69140625" bestFit="1" customWidth="1"/>
    <col min="6" max="6" width="12.3828125" bestFit="1" customWidth="1"/>
    <col min="7" max="7" width="12.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20771</v>
      </c>
      <c r="B4" s="11">
        <f>VLOOKUP(A4,'Project Status'!C:D,2,FALSE)</f>
        <v>8674</v>
      </c>
      <c r="C4" s="11">
        <f>VLOOKUP(A4,'Project Status'!C:E,3,FALSE)</f>
        <v>0</v>
      </c>
      <c r="D4" s="11" t="str">
        <f>VLOOKUP(A4,'Project Status'!C:F,4,FALSE)</f>
        <v>12000 - Arts and Science: Office of the Dean</v>
      </c>
      <c r="E4" s="11" t="str">
        <f>VLOOKUP(A4,'Project Status'!C:I,7,FALSE)</f>
        <v>SC4 - Interstitial Space HVAC Modifications</v>
      </c>
      <c r="F4" s="11" t="str">
        <f>VLOOKUP(A4,'Project Status'!C:J,8,FALSE)</f>
        <v>Finalized</v>
      </c>
      <c r="G4" s="11" t="str">
        <f>VLOOKUP(A4,'Project Status'!C:K,9,FALSE)</f>
        <v>Sean Rewers</v>
      </c>
      <c r="H4" s="100">
        <f>VLOOKUP(A4,'Project Status'!C:M,11,FALSE)</f>
        <v>24997</v>
      </c>
    </row>
    <row r="8" spans="1:11" x14ac:dyDescent="0.4">
      <c r="E8" s="43" t="s">
        <v>126</v>
      </c>
    </row>
    <row r="9" spans="1:11" x14ac:dyDescent="0.4">
      <c r="E9" s="22" t="s">
        <v>281</v>
      </c>
      <c r="F9" t="s">
        <v>141</v>
      </c>
      <c r="H9" s="44">
        <v>19297</v>
      </c>
    </row>
    <row r="10" spans="1:11" x14ac:dyDescent="0.4">
      <c r="E10" s="22" t="s">
        <v>288</v>
      </c>
      <c r="F10" t="s">
        <v>218</v>
      </c>
      <c r="H10" s="44">
        <v>5700</v>
      </c>
    </row>
    <row r="12" spans="1:11" x14ac:dyDescent="0.4">
      <c r="F12" s="10"/>
      <c r="G12" s="10"/>
      <c r="H12" s="47"/>
    </row>
    <row r="18" spans="5:8" x14ac:dyDescent="0.4">
      <c r="E18" s="163" t="s">
        <v>280</v>
      </c>
      <c r="F18" s="164"/>
      <c r="G18" s="163"/>
      <c r="H18" s="165">
        <f>SUM(H9:H17)</f>
        <v>24997</v>
      </c>
    </row>
    <row r="20" spans="5:8" x14ac:dyDescent="0.4">
      <c r="E20" s="166" t="s">
        <v>138</v>
      </c>
      <c r="F20" s="166"/>
      <c r="G20" s="166"/>
      <c r="H20" s="167">
        <f>H4-H18</f>
        <v>0</v>
      </c>
    </row>
  </sheetData>
  <hyperlinks>
    <hyperlink ref="K1" location="'Project Status'!A1" display="'Project Status'!A1" xr:uid="{FE9FE35D-5ADF-428F-9C73-430E553BB9E5}"/>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125-FA62-4913-9C5C-815B64E8874A}">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27.15234375" bestFit="1" customWidth="1"/>
    <col min="5" max="5" width="45.3046875" bestFit="1" customWidth="1"/>
    <col min="6" max="6" width="6.69140625" bestFit="1" customWidth="1"/>
    <col min="7" max="7" width="11.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20792</v>
      </c>
      <c r="B4" s="11">
        <f>VLOOKUP(A4,'Project Status'!C:D,2,FALSE)</f>
        <v>1035</v>
      </c>
      <c r="C4" s="11" t="str">
        <f>VLOOKUP(A4,'Project Status'!C:E,3,FALSE)</f>
        <v>CP_400206</v>
      </c>
      <c r="D4" s="11" t="str">
        <f>VLOOKUP(A4,'Project Status'!C:F,4,FALSE)</f>
        <v>17100 - Law: Business Affairs</v>
      </c>
      <c r="E4" s="11" t="str">
        <f>VLOOKUP(A4,'Project Status'!C:I,7,FALSE)</f>
        <v>Law School - Sections 1, 2, &amp; 3  Roof Replacement</v>
      </c>
      <c r="F4" s="11" t="str">
        <f>VLOOKUP(A4,'Project Status'!C:J,8,FALSE)</f>
        <v>Construction</v>
      </c>
      <c r="G4" s="11" t="str">
        <f>VLOOKUP(A4,'Project Status'!C:K,9,FALSE)</f>
        <v>Ben Bedock</v>
      </c>
      <c r="H4" s="100">
        <f>VLOOKUP(A4,'Project Status'!C:M,11,FALSE)</f>
        <v>483440</v>
      </c>
    </row>
    <row r="8" spans="1:11" x14ac:dyDescent="0.4">
      <c r="E8" s="43" t="s">
        <v>126</v>
      </c>
    </row>
    <row r="9" spans="1:11" x14ac:dyDescent="0.4">
      <c r="E9" s="22" t="s">
        <v>321</v>
      </c>
      <c r="F9" t="s">
        <v>141</v>
      </c>
      <c r="H9" s="44">
        <v>483440</v>
      </c>
    </row>
    <row r="10" spans="1:11" x14ac:dyDescent="0.4">
      <c r="E10" s="22"/>
      <c r="H10" s="44"/>
    </row>
    <row r="12" spans="1:11" x14ac:dyDescent="0.4">
      <c r="F12" s="10"/>
      <c r="G12" s="10"/>
      <c r="H12" s="47"/>
    </row>
    <row r="18" spans="5:8" x14ac:dyDescent="0.4">
      <c r="E18" s="163" t="s">
        <v>280</v>
      </c>
      <c r="F18" s="164"/>
      <c r="G18" s="163"/>
      <c r="H18" s="165">
        <f>SUM(H9:H17)</f>
        <v>483440</v>
      </c>
    </row>
    <row r="20" spans="5:8" x14ac:dyDescent="0.4">
      <c r="E20" s="166" t="s">
        <v>138</v>
      </c>
      <c r="F20" s="166"/>
      <c r="G20" s="166"/>
      <c r="H20" s="167">
        <f>H4-H18</f>
        <v>0</v>
      </c>
    </row>
  </sheetData>
  <hyperlinks>
    <hyperlink ref="K1" location="'Project Status'!A1" display="'Project Status'!A1" xr:uid="{8D4B950B-46B9-453E-93D9-3BBF9A5CCE1A}"/>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0440-14E2-461E-B433-A117D99397F4}">
  <sheetPr>
    <tabColor theme="0"/>
  </sheetPr>
  <dimension ref="A1:J24"/>
  <sheetViews>
    <sheetView zoomScaleNormal="100" workbookViewId="0"/>
  </sheetViews>
  <sheetFormatPr defaultRowHeight="14.6" x14ac:dyDescent="0.4"/>
  <cols>
    <col min="1" max="1" width="5.69140625" customWidth="1"/>
    <col min="2" max="2" width="23.3046875" bestFit="1" customWidth="1"/>
    <col min="3" max="3" width="14.3046875" style="44" bestFit="1" customWidth="1"/>
    <col min="4" max="4" width="5.69140625" customWidth="1"/>
    <col min="6" max="6" width="14.3046875" bestFit="1" customWidth="1"/>
    <col min="8" max="8" width="5.69140625" customWidth="1"/>
    <col min="20" max="20" width="9.3046875" customWidth="1"/>
  </cols>
  <sheetData>
    <row r="1" spans="1:10" x14ac:dyDescent="0.4">
      <c r="A1" s="169" t="s">
        <v>285</v>
      </c>
    </row>
    <row r="2" spans="1:10" x14ac:dyDescent="0.4">
      <c r="B2" s="48" t="s">
        <v>142</v>
      </c>
    </row>
    <row r="3" spans="1:10" x14ac:dyDescent="0.4">
      <c r="B3" t="s">
        <v>144</v>
      </c>
    </row>
    <row r="4" spans="1:10" x14ac:dyDescent="0.4">
      <c r="B4" s="49" t="s">
        <v>143</v>
      </c>
      <c r="C4" s="50">
        <f>Contributions!C14</f>
        <v>9364499</v>
      </c>
    </row>
    <row r="5" spans="1:10" x14ac:dyDescent="0.4">
      <c r="B5" s="54" t="s">
        <v>147</v>
      </c>
      <c r="C5" s="55">
        <f>SUM(C1:C4)</f>
        <v>9364499</v>
      </c>
      <c r="J5" s="22"/>
    </row>
    <row r="8" spans="1:10" x14ac:dyDescent="0.4">
      <c r="B8" t="s">
        <v>145</v>
      </c>
      <c r="F8" s="45"/>
    </row>
    <row r="9" spans="1:10" x14ac:dyDescent="0.4">
      <c r="B9" s="22" t="s">
        <v>136</v>
      </c>
      <c r="C9" s="44">
        <f>SUMIF('10085'!$E:$E,'JE LOG_FY23'!B9,'10085'!$H:$H)+SUMIF('10098'!$E:$E,'JE LOG_FY23'!B9,'10098'!$H:$H)+SUMIF('10146'!$E:$E,'JE LOG_FY23'!B9,'10146'!$H:$H)+SUMIF('20179'!$E:$E,'JE LOG_FY23'!B9,'20179'!$H:$H)+SUMIF('20336'!$E:$E,'JE LOG_FY23'!B9,'20336'!$H:$H)+SUMIF('20431'!$E:$E,'JE LOG_FY23'!B9,'20431'!$H:$H)+SUMIF('20478'!$E:$E,'JE LOG_FY23'!B9,'20478'!$H:$H)+SUMIF('20489'!$E:$E,'JE LOG_FY23'!B9,'20489'!$H:$H)+SUMIF('20497'!$E:$E,'JE LOG_FY23'!B9,'20497'!$H:$H)+SUMIF('20506'!$E:$E,'JE LOG_FY23'!B9,'20506'!$H:$H)++SUMIF('20562'!$E:$E,'JE LOG_FY23'!B9,'20562'!$H:$H)+SUMIF('20566'!$E:$E,'JE LOG_FY23'!B9,'20566'!$H:$H)+SUMIF('20573'!$E:$E,'JE LOG_FY23'!B9,'20573'!$H:$H)+SUMIF('20574'!$E:$E,'JE LOG_FY23'!B9,'20574'!$H:$H)+SUMIF('20577'!$E:$E,'JE LOG_FY23'!B9,'20577'!$H:$H)+SUMIF('20644'!$E:$E,'JE LOG_FY23'!B9,'20644'!$H:$H)+SUMIF('20645'!$E:$E,'JE LOG_FY23'!B9,'20645'!$H:$H)+SUMIF('20667'!$E:$E,'JE LOG_FY23'!B9,'20667'!$H:$H)+SUMIF('20668'!$E:$E,'JE LOG_FY23'!B9,'20668'!$H:$H)+SUMIF('20698'!$E:$E,'JE LOG_FY23'!B9,'20698'!$H:$H)+SUMIF('20700'!$E:$E,'JE LOG_FY23'!B9,'20700'!$H:$H)+SUMIF('20701'!$E:$E,'JE LOG_FY23'!B9,'20701'!$H:$H)+SUMIF('20702'!$E:$E,'JE LOG_FY23'!B9,'20702'!$H:$H)+SUMIF('20718'!$E:$E,'JE LOG_FY23'!B9,'20718'!$H:$H)+SUMIF('20723'!$E:$E,'JE LOG_FY23'!B9,'20723'!$H:$H)+SUMIF('20724'!$E:$E,'JE LOG_FY23'!B9,'20724'!$H:$H)+SUMIF('20771'!$E:$E,'JE LOG_FY23'!B9,'20771'!$H:$H)+SUMIF('20735'!$E:$E,'JE LOG_FY23'!B9,'20735'!$H:$H)+SUMIF('20792'!$E:$E,'JE LOG_FY23'!B9,'20792'!$H:$H)</f>
        <v>2018595.5</v>
      </c>
      <c r="F9" s="159"/>
    </row>
    <row r="10" spans="1:10" x14ac:dyDescent="0.4">
      <c r="B10" s="22" t="s">
        <v>168</v>
      </c>
      <c r="C10" s="44">
        <f>SUMIF('10085'!$E:$E,'JE LOG_FY23'!B10,'10085'!$H:$H)+SUMIF('10098'!$E:$E,'JE LOG_FY23'!B10,'10098'!$H:$H)+SUMIF('10146'!$E:$E,'JE LOG_FY23'!B10,'10146'!$H:$H)+SUMIF('20179'!$E:$E,'JE LOG_FY23'!B10,'20179'!$H:$H)+SUMIF('20336'!$E:$E,'JE LOG_FY23'!B10,'20336'!$H:$H)+SUMIF('20431'!$E:$E,'JE LOG_FY23'!B10,'20431'!$H:$H)+SUMIF('20478'!$E:$E,'JE LOG_FY23'!B10,'20478'!$H:$H)+SUMIF('20489'!$E:$E,'JE LOG_FY23'!B10,'20489'!$H:$H)+SUMIF('20497'!$E:$E,'JE LOG_FY23'!B10,'20497'!$H:$H)+SUMIF('20506'!$E:$E,'JE LOG_FY23'!B10,'20506'!$H:$H)++SUMIF('20562'!$E:$E,'JE LOG_FY23'!B10,'20562'!$H:$H)+SUMIF('20566'!$E:$E,'JE LOG_FY23'!B10,'20566'!$H:$H)+SUMIF('20573'!$E:$E,'JE LOG_FY23'!B10,'20573'!$H:$H)+SUMIF('20574'!$E:$E,'JE LOG_FY23'!B10,'20574'!$H:$H)+SUMIF('20577'!$E:$E,'JE LOG_FY23'!B10,'20577'!$H:$H)+SUMIF('20644'!$E:$E,'JE LOG_FY23'!B10,'20644'!$H:$H)+SUMIF('20645'!$E:$E,'JE LOG_FY23'!B10,'20645'!$H:$H)+SUMIF('20667'!$E:$E,'JE LOG_FY23'!B10,'20667'!$H:$H)+SUMIF('20668'!$E:$E,'JE LOG_FY23'!B10,'20668'!$H:$H)+SUMIF('20698'!$E:$E,'JE LOG_FY23'!B10,'20698'!$H:$H)+SUMIF('20700'!$E:$E,'JE LOG_FY23'!B10,'20700'!$H:$H)+SUMIF('20701'!$E:$E,'JE LOG_FY23'!B10,'20701'!$H:$H)+SUMIF('20702'!$E:$E,'JE LOG_FY23'!B10,'20702'!$H:$H)+SUMIF('20718'!$E:$E,'JE LOG_FY23'!B10,'20718'!$H:$H)+SUMIF('20723'!$E:$E,'JE LOG_FY23'!B10,'20723'!$H:$H)+SUMIF('20724'!$E:$E,'JE LOG_FY23'!B10,'20724'!$H:$H)+SUMIF('20771'!$E:$E,'JE LOG_FY23'!B10,'20771'!$H:$H)+SUMIF('20735'!$E:$E,'JE LOG_FY23'!B10,'20735'!$H:$H)+SUMIF('20792'!$E:$E,'JE LOG_FY23'!B10,'20792'!$H:$H)</f>
        <v>85900</v>
      </c>
      <c r="F10" s="159"/>
    </row>
    <row r="11" spans="1:10" x14ac:dyDescent="0.4">
      <c r="B11" s="22" t="s">
        <v>178</v>
      </c>
      <c r="C11" s="44">
        <f>SUMIF('10085'!$E:$E,'JE LOG_FY23'!B11,'10085'!$H:$H)+SUMIF('10098'!$E:$E,'JE LOG_FY23'!B11,'10098'!$H:$H)+SUMIF('10146'!$E:$E,'JE LOG_FY23'!B11,'10146'!$H:$H)+SUMIF('20179'!$E:$E,'JE LOG_FY23'!B11,'20179'!$H:$H)+SUMIF('20336'!$E:$E,'JE LOG_FY23'!B11,'20336'!$H:$H)+SUMIF('20431'!$E:$E,'JE LOG_FY23'!B11,'20431'!$H:$H)+SUMIF('20478'!$E:$E,'JE LOG_FY23'!B11,'20478'!$H:$H)+SUMIF('20489'!$E:$E,'JE LOG_FY23'!B11,'20489'!$H:$H)+SUMIF('20497'!$E:$E,'JE LOG_FY23'!B11,'20497'!$H:$H)+SUMIF('20506'!$E:$E,'JE LOG_FY23'!B11,'20506'!$H:$H)++SUMIF('20562'!$E:$E,'JE LOG_FY23'!B11,'20562'!$H:$H)+SUMIF('20566'!$E:$E,'JE LOG_FY23'!B11,'20566'!$H:$H)+SUMIF('20573'!$E:$E,'JE LOG_FY23'!B11,'20573'!$H:$H)+SUMIF('20574'!$E:$E,'JE LOG_FY23'!B11,'20574'!$H:$H)+SUMIF('20577'!$E:$E,'JE LOG_FY23'!B11,'20577'!$H:$H)+SUMIF('20644'!$E:$E,'JE LOG_FY23'!B11,'20644'!$H:$H)+SUMIF('20645'!$E:$E,'JE LOG_FY23'!B11,'20645'!$H:$H)+SUMIF('20667'!$E:$E,'JE LOG_FY23'!B11,'20667'!$H:$H)+SUMIF('20668'!$E:$E,'JE LOG_FY23'!B11,'20668'!$H:$H)+SUMIF('20698'!$E:$E,'JE LOG_FY23'!B11,'20698'!$H:$H)+SUMIF('20700'!$E:$E,'JE LOG_FY23'!B11,'20700'!$H:$H)+SUMIF('20701'!$E:$E,'JE LOG_FY23'!B11,'20701'!$H:$H)+SUMIF('20702'!$E:$E,'JE LOG_FY23'!B11,'20702'!$H:$H)+SUMIF('20718'!$E:$E,'JE LOG_FY23'!B11,'20718'!$H:$H)+SUMIF('20723'!$E:$E,'JE LOG_FY23'!B11,'20723'!$H:$H)+SUMIF('20724'!$E:$E,'JE LOG_FY23'!B11,'20724'!$H:$H)+SUMIF('20771'!$E:$E,'JE LOG_FY23'!B11,'20771'!$H:$H)+SUMIF('20735'!$E:$E,'JE LOG_FY23'!B11,'20735'!$H:$H)+SUMIF('20792'!$E:$E,'JE LOG_FY23'!B11,'20792'!$H:$H)</f>
        <v>197362.5</v>
      </c>
      <c r="F11" s="159"/>
    </row>
    <row r="12" spans="1:10" x14ac:dyDescent="0.4">
      <c r="B12" s="22" t="s">
        <v>219</v>
      </c>
      <c r="C12" s="44">
        <f>SUMIF('10085'!$E:$E,'JE LOG_FY23'!B12,'10085'!$H:$H)+SUMIF('10098'!$E:$E,'JE LOG_FY23'!B12,'10098'!$H:$H)+SUMIF('10146'!$E:$E,'JE LOG_FY23'!B12,'10146'!$H:$H)+SUMIF('20179'!$E:$E,'JE LOG_FY23'!B12,'20179'!$H:$H)+SUMIF('20336'!$E:$E,'JE LOG_FY23'!B12,'20336'!$H:$H)+SUMIF('20431'!$E:$E,'JE LOG_FY23'!B12,'20431'!$H:$H)+SUMIF('20478'!$E:$E,'JE LOG_FY23'!B12,'20478'!$H:$H)+SUMIF('20489'!$E:$E,'JE LOG_FY23'!B12,'20489'!$H:$H)+SUMIF('20497'!$E:$E,'JE LOG_FY23'!B12,'20497'!$H:$H)+SUMIF('20506'!$E:$E,'JE LOG_FY23'!B12,'20506'!$H:$H)++SUMIF('20562'!$E:$E,'JE LOG_FY23'!B12,'20562'!$H:$H)+SUMIF('20566'!$E:$E,'JE LOG_FY23'!B12,'20566'!$H:$H)+SUMIF('20573'!$E:$E,'JE LOG_FY23'!B12,'20573'!$H:$H)+SUMIF('20574'!$E:$E,'JE LOG_FY23'!B12,'20574'!$H:$H)+SUMIF('20577'!$E:$E,'JE LOG_FY23'!B12,'20577'!$H:$H)+SUMIF('20644'!$E:$E,'JE LOG_FY23'!B12,'20644'!$H:$H)+SUMIF('20645'!$E:$E,'JE LOG_FY23'!B12,'20645'!$H:$H)+SUMIF('20667'!$E:$E,'JE LOG_FY23'!B12,'20667'!$H:$H)+SUMIF('20668'!$E:$E,'JE LOG_FY23'!B12,'20668'!$H:$H)+SUMIF('20698'!$E:$E,'JE LOG_FY23'!B12,'20698'!$H:$H)+SUMIF('20700'!$E:$E,'JE LOG_FY23'!B12,'20700'!$H:$H)+SUMIF('20701'!$E:$E,'JE LOG_FY23'!B12,'20701'!$H:$H)+SUMIF('20702'!$E:$E,'JE LOG_FY23'!B12,'20702'!$H:$H)+SUMIF('20718'!$E:$E,'JE LOG_FY23'!B12,'20718'!$H:$H)+SUMIF('20723'!$E:$E,'JE LOG_FY23'!B12,'20723'!$H:$H)+SUMIF('20724'!$E:$E,'JE LOG_FY23'!B12,'20724'!$H:$H)+SUMIF('20771'!$E:$E,'JE LOG_FY23'!B12,'20771'!$H:$H)+SUMIF('20735'!$E:$E,'JE LOG_FY23'!B12,'20735'!$H:$H)+SUMIF('20792'!$E:$E,'JE LOG_FY23'!B12,'20792'!$H:$H)</f>
        <v>791392</v>
      </c>
      <c r="F12" s="159"/>
    </row>
    <row r="13" spans="1:10" x14ac:dyDescent="0.4">
      <c r="B13" s="22" t="s">
        <v>230</v>
      </c>
      <c r="C13" s="44">
        <f>SUMIF('10085'!$E:$E,'JE LOG_FY23'!B13,'10085'!$H:$H)+SUMIF('10098'!$E:$E,'JE LOG_FY23'!B13,'10098'!$H:$H)+SUMIF('10146'!$E:$E,'JE LOG_FY23'!B13,'10146'!$H:$H)+SUMIF('20179'!$E:$E,'JE LOG_FY23'!B13,'20179'!$H:$H)+SUMIF('20336'!$E:$E,'JE LOG_FY23'!B13,'20336'!$H:$H)+SUMIF('20431'!$E:$E,'JE LOG_FY23'!B13,'20431'!$H:$H)+SUMIF('20478'!$E:$E,'JE LOG_FY23'!B13,'20478'!$H:$H)+SUMIF('20489'!$E:$E,'JE LOG_FY23'!B13,'20489'!$H:$H)+SUMIF('20497'!$E:$E,'JE LOG_FY23'!B13,'20497'!$H:$H)+SUMIF('20506'!$E:$E,'JE LOG_FY23'!B13,'20506'!$H:$H)++SUMIF('20562'!$E:$E,'JE LOG_FY23'!B13,'20562'!$H:$H)+SUMIF('20566'!$E:$E,'JE LOG_FY23'!B13,'20566'!$H:$H)+SUMIF('20573'!$E:$E,'JE LOG_FY23'!B13,'20573'!$H:$H)+SUMIF('20574'!$E:$E,'JE LOG_FY23'!B13,'20574'!$H:$H)+SUMIF('20577'!$E:$E,'JE LOG_FY23'!B13,'20577'!$H:$H)+SUMIF('20644'!$E:$E,'JE LOG_FY23'!B13,'20644'!$H:$H)+SUMIF('20645'!$E:$E,'JE LOG_FY23'!B13,'20645'!$H:$H)+SUMIF('20667'!$E:$E,'JE LOG_FY23'!B13,'20667'!$H:$H)+SUMIF('20668'!$E:$E,'JE LOG_FY23'!B13,'20668'!$H:$H)+SUMIF('20698'!$E:$E,'JE LOG_FY23'!B13,'20698'!$H:$H)+SUMIF('20700'!$E:$E,'JE LOG_FY23'!B13,'20700'!$H:$H)+SUMIF('20701'!$E:$E,'JE LOG_FY23'!B13,'20701'!$H:$H)+SUMIF('20702'!$E:$E,'JE LOG_FY23'!B13,'20702'!$H:$H)+SUMIF('20718'!$E:$E,'JE LOG_FY23'!B13,'20718'!$H:$H)+SUMIF('20723'!$E:$E,'JE LOG_FY23'!B13,'20723'!$H:$H)+SUMIF('20724'!$E:$E,'JE LOG_FY23'!B13,'20724'!$H:$H)+SUMIF('20771'!$E:$E,'JE LOG_FY23'!B13,'20771'!$H:$H)+SUMIF('20735'!$E:$E,'JE LOG_FY23'!B13,'20735'!$H:$H)+SUMIF('20792'!$E:$E,'JE LOG_FY23'!B13,'20792'!$H:$H)</f>
        <v>776870</v>
      </c>
      <c r="F13" s="159"/>
    </row>
    <row r="14" spans="1:10" x14ac:dyDescent="0.4">
      <c r="B14" s="22" t="s">
        <v>237</v>
      </c>
      <c r="C14" s="44">
        <f>SUMIF('10085'!$E:$E,'JE LOG_FY23'!B14,'10085'!$H:$H)+SUMIF('10098'!$E:$E,'JE LOG_FY23'!B14,'10098'!$H:$H)+SUMIF('10146'!$E:$E,'JE LOG_FY23'!B14,'10146'!$H:$H)+SUMIF('20179'!$E:$E,'JE LOG_FY23'!B14,'20179'!$H:$H)+SUMIF('20336'!$E:$E,'JE LOG_FY23'!B14,'20336'!$H:$H)+SUMIF('20431'!$E:$E,'JE LOG_FY23'!B14,'20431'!$H:$H)+SUMIF('20478'!$E:$E,'JE LOG_FY23'!B14,'20478'!$H:$H)+SUMIF('20489'!$E:$E,'JE LOG_FY23'!B14,'20489'!$H:$H)+SUMIF('20497'!$E:$E,'JE LOG_FY23'!B14,'20497'!$H:$H)+SUMIF('20506'!$E:$E,'JE LOG_FY23'!B14,'20506'!$H:$H)++SUMIF('20562'!$E:$E,'JE LOG_FY23'!B14,'20562'!$H:$H)+SUMIF('20566'!$E:$E,'JE LOG_FY23'!B14,'20566'!$H:$H)+SUMIF('20573'!$E:$E,'JE LOG_FY23'!B14,'20573'!$H:$H)+SUMIF('20574'!$E:$E,'JE LOG_FY23'!B14,'20574'!$H:$H)+SUMIF('20577'!$E:$E,'JE LOG_FY23'!B14,'20577'!$H:$H)+SUMIF('20644'!$E:$E,'JE LOG_FY23'!B14,'20644'!$H:$H)+SUMIF('20645'!$E:$E,'JE LOG_FY23'!B14,'20645'!$H:$H)+SUMIF('20667'!$E:$E,'JE LOG_FY23'!B14,'20667'!$H:$H)+SUMIF('20668'!$E:$E,'JE LOG_FY23'!B14,'20668'!$H:$H)+SUMIF('20698'!$E:$E,'JE LOG_FY23'!B14,'20698'!$H:$H)+SUMIF('20700'!$E:$E,'JE LOG_FY23'!B14,'20700'!$H:$H)+SUMIF('20701'!$E:$E,'JE LOG_FY23'!B14,'20701'!$H:$H)+SUMIF('20702'!$E:$E,'JE LOG_FY23'!B14,'20702'!$H:$H)+SUMIF('20718'!$E:$E,'JE LOG_FY23'!B14,'20718'!$H:$H)+SUMIF('20723'!$E:$E,'JE LOG_FY23'!B14,'20723'!$H:$H)+SUMIF('20724'!$E:$E,'JE LOG_FY23'!B14,'20724'!$H:$H)+SUMIF('20771'!$E:$E,'JE LOG_FY23'!B14,'20771'!$H:$H)+SUMIF('20735'!$E:$E,'JE LOG_FY23'!B14,'20735'!$H:$H)+SUMIF('20792'!$E:$E,'JE LOG_FY23'!B14,'20792'!$H:$H)</f>
        <v>823832</v>
      </c>
      <c r="F14" s="159"/>
    </row>
    <row r="15" spans="1:10" x14ac:dyDescent="0.4">
      <c r="B15" s="22" t="s">
        <v>244</v>
      </c>
      <c r="C15" s="44">
        <f>SUMIF('10085'!$E:$E,'JE LOG_FY23'!B15,'10085'!$H:$H)+SUMIF('10098'!$E:$E,'JE LOG_FY23'!B15,'10098'!$H:$H)+SUMIF('10146'!$E:$E,'JE LOG_FY23'!B15,'10146'!$H:$H)+SUMIF('20179'!$E:$E,'JE LOG_FY23'!B15,'20179'!$H:$H)+SUMIF('20336'!$E:$E,'JE LOG_FY23'!B15,'20336'!$H:$H)+SUMIF('20431'!$E:$E,'JE LOG_FY23'!B15,'20431'!$H:$H)+SUMIF('20478'!$E:$E,'JE LOG_FY23'!B15,'20478'!$H:$H)+SUMIF('20489'!$E:$E,'JE LOG_FY23'!B15,'20489'!$H:$H)+SUMIF('20497'!$E:$E,'JE LOG_FY23'!B15,'20497'!$H:$H)+SUMIF('20506'!$E:$E,'JE LOG_FY23'!B15,'20506'!$H:$H)++SUMIF('20562'!$E:$E,'JE LOG_FY23'!B15,'20562'!$H:$H)+SUMIF('20566'!$E:$E,'JE LOG_FY23'!B15,'20566'!$H:$H)+SUMIF('20573'!$E:$E,'JE LOG_FY23'!B15,'20573'!$H:$H)+SUMIF('20574'!$E:$E,'JE LOG_FY23'!B15,'20574'!$H:$H)+SUMIF('20577'!$E:$E,'JE LOG_FY23'!B15,'20577'!$H:$H)+SUMIF('20644'!$E:$E,'JE LOG_FY23'!B15,'20644'!$H:$H)+SUMIF('20645'!$E:$E,'JE LOG_FY23'!B15,'20645'!$H:$H)+SUMIF('20667'!$E:$E,'JE LOG_FY23'!B15,'20667'!$H:$H)+SUMIF('20668'!$E:$E,'JE LOG_FY23'!B15,'20668'!$H:$H)+SUMIF('20698'!$E:$E,'JE LOG_FY23'!B15,'20698'!$H:$H)+SUMIF('20700'!$E:$E,'JE LOG_FY23'!B15,'20700'!$H:$H)+SUMIF('20701'!$E:$E,'JE LOG_FY23'!B15,'20701'!$H:$H)+SUMIF('20702'!$E:$E,'JE LOG_FY23'!B15,'20702'!$H:$H)+SUMIF('20718'!$E:$E,'JE LOG_FY23'!B15,'20718'!$H:$H)+SUMIF('20723'!$E:$E,'JE LOG_FY23'!B15,'20723'!$H:$H)+SUMIF('20724'!$E:$E,'JE LOG_FY23'!B15,'20724'!$H:$H)+SUMIF('20771'!$E:$E,'JE LOG_FY23'!B15,'20771'!$H:$H)+SUMIF('20735'!$E:$E,'JE LOG_FY23'!B15,'20735'!$H:$H)+SUMIF('20792'!$E:$E,'JE LOG_FY23'!B15,'20792'!$H:$H)</f>
        <v>1294681</v>
      </c>
      <c r="F15" s="159"/>
    </row>
    <row r="16" spans="1:10" x14ac:dyDescent="0.4">
      <c r="B16" s="22" t="s">
        <v>261</v>
      </c>
      <c r="C16" s="44">
        <f>SUMIF('10085'!$E:$E,'JE LOG_FY23'!B16,'10085'!$H:$H)+SUMIF('10098'!$E:$E,'JE LOG_FY23'!B16,'10098'!$H:$H)+SUMIF('10146'!$E:$E,'JE LOG_FY23'!B16,'10146'!$H:$H)+SUMIF('20179'!$E:$E,'JE LOG_FY23'!B16,'20179'!$H:$H)+SUMIF('20336'!$E:$E,'JE LOG_FY23'!B16,'20336'!$H:$H)+SUMIF('20431'!$E:$E,'JE LOG_FY23'!B16,'20431'!$H:$H)+SUMIF('20478'!$E:$E,'JE LOG_FY23'!B16,'20478'!$H:$H)+SUMIF('20489'!$E:$E,'JE LOG_FY23'!B16,'20489'!$H:$H)+SUMIF('20497'!$E:$E,'JE LOG_FY23'!B16,'20497'!$H:$H)+SUMIF('20506'!$E:$E,'JE LOG_FY23'!B16,'20506'!$H:$H)++SUMIF('20562'!$E:$E,'JE LOG_FY23'!B16,'20562'!$H:$H)+SUMIF('20566'!$E:$E,'JE LOG_FY23'!B16,'20566'!$H:$H)+SUMIF('20573'!$E:$E,'JE LOG_FY23'!B16,'20573'!$H:$H)+SUMIF('20574'!$E:$E,'JE LOG_FY23'!B16,'20574'!$H:$H)+SUMIF('20577'!$E:$E,'JE LOG_FY23'!B16,'20577'!$H:$H)+SUMIF('20644'!$E:$E,'JE LOG_FY23'!B16,'20644'!$H:$H)+SUMIF('20645'!$E:$E,'JE LOG_FY23'!B16,'20645'!$H:$H)+SUMIF('20667'!$E:$E,'JE LOG_FY23'!B16,'20667'!$H:$H)+SUMIF('20668'!$E:$E,'JE LOG_FY23'!B16,'20668'!$H:$H)+SUMIF('20698'!$E:$E,'JE LOG_FY23'!B16,'20698'!$H:$H)+SUMIF('20700'!$E:$E,'JE LOG_FY23'!B16,'20700'!$H:$H)+SUMIF('20701'!$E:$E,'JE LOG_FY23'!B16,'20701'!$H:$H)+SUMIF('20702'!$E:$E,'JE LOG_FY23'!B16,'20702'!$H:$H)+SUMIF('20718'!$E:$E,'JE LOG_FY23'!B16,'20718'!$H:$H)+SUMIF('20723'!$E:$E,'JE LOG_FY23'!B16,'20723'!$H:$H)+SUMIF('20724'!$E:$E,'JE LOG_FY23'!B16,'20724'!$H:$H)+SUMIF('20771'!$E:$E,'JE LOG_FY23'!B16,'20771'!$H:$H)+SUMIF('20735'!$E:$E,'JE LOG_FY23'!B16,'20735'!$H:$H)+SUMIF('20792'!$E:$E,'JE LOG_FY23'!B16,'20792'!$H:$H)</f>
        <v>730127</v>
      </c>
      <c r="F16" s="159"/>
    </row>
    <row r="17" spans="1:8" x14ac:dyDescent="0.4">
      <c r="B17" s="22" t="s">
        <v>281</v>
      </c>
      <c r="C17" s="44">
        <f>SUMIF('10085'!$E:$E,'JE LOG_FY23'!B17,'10085'!$H:$H)+SUMIF('10098'!$E:$E,'JE LOG_FY23'!B17,'10098'!$H:$H)+SUMIF('10146'!$E:$E,'JE LOG_FY23'!B17,'10146'!$H:$H)+SUMIF('20179'!$E:$E,'JE LOG_FY23'!B17,'20179'!$H:$H)+SUMIF('20336'!$E:$E,'JE LOG_FY23'!B17,'20336'!$H:$H)+SUMIF('20431'!$E:$E,'JE LOG_FY23'!B17,'20431'!$H:$H)+SUMIF('20478'!$E:$E,'JE LOG_FY23'!B17,'20478'!$H:$H)+SUMIF('20489'!$E:$E,'JE LOG_FY23'!B17,'20489'!$H:$H)+SUMIF('20497'!$E:$E,'JE LOG_FY23'!B17,'20497'!$H:$H)+SUMIF('20506'!$E:$E,'JE LOG_FY23'!B17,'20506'!$H:$H)++SUMIF('20562'!$E:$E,'JE LOG_FY23'!B17,'20562'!$H:$H)+SUMIF('20566'!$E:$E,'JE LOG_FY23'!B17,'20566'!$H:$H)+SUMIF('20573'!$E:$E,'JE LOG_FY23'!B17,'20573'!$H:$H)+SUMIF('20574'!$E:$E,'JE LOG_FY23'!B17,'20574'!$H:$H)+SUMIF('20577'!$E:$E,'JE LOG_FY23'!B17,'20577'!$H:$H)+SUMIF('20644'!$E:$E,'JE LOG_FY23'!B17,'20644'!$H:$H)+SUMIF('20645'!$E:$E,'JE LOG_FY23'!B17,'20645'!$H:$H)+SUMIF('20667'!$E:$E,'JE LOG_FY23'!B17,'20667'!$H:$H)+SUMIF('20668'!$E:$E,'JE LOG_FY23'!B17,'20668'!$H:$H)+SUMIF('20698'!$E:$E,'JE LOG_FY23'!B17,'20698'!$H:$H)+SUMIF('20700'!$E:$E,'JE LOG_FY23'!B17,'20700'!$H:$H)+SUMIF('20701'!$E:$E,'JE LOG_FY23'!B17,'20701'!$H:$H)+SUMIF('20702'!$E:$E,'JE LOG_FY23'!B17,'20702'!$H:$H)+SUMIF('20718'!$E:$E,'JE LOG_FY23'!B17,'20718'!$H:$H)+SUMIF('20723'!$E:$E,'JE LOG_FY23'!B17,'20723'!$H:$H)+SUMIF('20724'!$E:$E,'JE LOG_FY23'!B17,'20724'!$H:$H)+SUMIF('20771'!$E:$E,'JE LOG_FY23'!B17,'20771'!$H:$H)+SUMIF('20735'!$E:$E,'JE LOG_FY23'!B17,'20735'!$H:$H)+SUMIF('20792'!$E:$E,'JE LOG_FY23'!B17,'20792'!$H:$H)</f>
        <v>1067545.26</v>
      </c>
      <c r="F17" s="44"/>
    </row>
    <row r="18" spans="1:8" x14ac:dyDescent="0.4">
      <c r="B18" s="22" t="s">
        <v>288</v>
      </c>
      <c r="C18" s="44">
        <f>SUMIF('10085'!$E:$E,'JE LOG_FY23'!B18,'10085'!$H:$H)+SUMIF('10098'!$E:$E,'JE LOG_FY23'!B18,'10098'!$H:$H)+SUMIF('10146'!$E:$E,'JE LOG_FY23'!B18,'10146'!$H:$H)+SUMIF('20179'!$E:$E,'JE LOG_FY23'!B18,'20179'!$H:$H)+SUMIF('20336'!$E:$E,'JE LOG_FY23'!B18,'20336'!$H:$H)+SUMIF('20431'!$E:$E,'JE LOG_FY23'!B18,'20431'!$H:$H)+SUMIF('20478'!$E:$E,'JE LOG_FY23'!B18,'20478'!$H:$H)+SUMIF('20489'!$E:$E,'JE LOG_FY23'!B18,'20489'!$H:$H)+SUMIF('20497'!$E:$E,'JE LOG_FY23'!B18,'20497'!$H:$H)+SUMIF('20506'!$E:$E,'JE LOG_FY23'!B18,'20506'!$H:$H)++SUMIF('20562'!$E:$E,'JE LOG_FY23'!B18,'20562'!$H:$H)+SUMIF('20566'!$E:$E,'JE LOG_FY23'!B18,'20566'!$H:$H)+SUMIF('20573'!$E:$E,'JE LOG_FY23'!B18,'20573'!$H:$H)+SUMIF('20574'!$E:$E,'JE LOG_FY23'!B18,'20574'!$H:$H)+SUMIF('20577'!$E:$E,'JE LOG_FY23'!B18,'20577'!$H:$H)+SUMIF('20644'!$E:$E,'JE LOG_FY23'!B18,'20644'!$H:$H)+SUMIF('20645'!$E:$E,'JE LOG_FY23'!B18,'20645'!$H:$H)+SUMIF('20667'!$E:$E,'JE LOG_FY23'!B18,'20667'!$H:$H)+SUMIF('20668'!$E:$E,'JE LOG_FY23'!B18,'20668'!$H:$H)+SUMIF('20698'!$E:$E,'JE LOG_FY23'!B18,'20698'!$H:$H)+SUMIF('20700'!$E:$E,'JE LOG_FY23'!B18,'20700'!$H:$H)+SUMIF('20701'!$E:$E,'JE LOG_FY23'!B18,'20701'!$H:$H)+SUMIF('20702'!$E:$E,'JE LOG_FY23'!B18,'20702'!$H:$H)+SUMIF('20718'!$E:$E,'JE LOG_FY23'!B18,'20718'!$H:$H)+SUMIF('20723'!$E:$E,'JE LOG_FY23'!B18,'20723'!$H:$H)+SUMIF('20724'!$E:$E,'JE LOG_FY23'!B18,'20724'!$H:$H)+SUMIF('20771'!$E:$E,'JE LOG_FY23'!B18,'20771'!$H:$H)+SUMIF('20735'!$E:$E,'JE LOG_FY23'!B18,'20735'!$H:$H)+SUMIF('20792'!$E:$E,'JE LOG_FY23'!B18,'20792'!$H:$H)</f>
        <v>305700</v>
      </c>
      <c r="F18" s="44"/>
    </row>
    <row r="19" spans="1:8" x14ac:dyDescent="0.4">
      <c r="B19" s="22" t="s">
        <v>296</v>
      </c>
      <c r="C19" s="44">
        <f>SUMIF('10085'!$E:$E,'JE LOG_FY23'!B19,'10085'!$H:$H)+SUMIF('10098'!$E:$E,'JE LOG_FY23'!B19,'10098'!$H:$H)+SUMIF('10146'!$E:$E,'JE LOG_FY23'!B19,'10146'!$H:$H)+SUMIF('20179'!$E:$E,'JE LOG_FY23'!B19,'20179'!$H:$H)+SUMIF('20336'!$E:$E,'JE LOG_FY23'!B19,'20336'!$H:$H)+SUMIF('20431'!$E:$E,'JE LOG_FY23'!B19,'20431'!$H:$H)+SUMIF('20478'!$E:$E,'JE LOG_FY23'!B19,'20478'!$H:$H)+SUMIF('20489'!$E:$E,'JE LOG_FY23'!B19,'20489'!$H:$H)+SUMIF('20497'!$E:$E,'JE LOG_FY23'!B19,'20497'!$H:$H)+SUMIF('20506'!$E:$E,'JE LOG_FY23'!B19,'20506'!$H:$H)++SUMIF('20562'!$E:$E,'JE LOG_FY23'!B19,'20562'!$H:$H)+SUMIF('20566'!$E:$E,'JE LOG_FY23'!B19,'20566'!$H:$H)+SUMIF('20573'!$E:$E,'JE LOG_FY23'!B19,'20573'!$H:$H)+SUMIF('20574'!$E:$E,'JE LOG_FY23'!B19,'20574'!$H:$H)+SUMIF('20577'!$E:$E,'JE LOG_FY23'!B19,'20577'!$H:$H)+SUMIF('20644'!$E:$E,'JE LOG_FY23'!B19,'20644'!$H:$H)+SUMIF('20645'!$E:$E,'JE LOG_FY23'!B19,'20645'!$H:$H)+SUMIF('20667'!$E:$E,'JE LOG_FY23'!B19,'20667'!$H:$H)+SUMIF('20668'!$E:$E,'JE LOG_FY23'!B19,'20668'!$H:$H)+SUMIF('20698'!$E:$E,'JE LOG_FY23'!B19,'20698'!$H:$H)+SUMIF('20700'!$E:$E,'JE LOG_FY23'!B19,'20700'!$H:$H)+SUMIF('20701'!$E:$E,'JE LOG_FY23'!B19,'20701'!$H:$H)+SUMIF('20702'!$E:$E,'JE LOG_FY23'!B19,'20702'!$H:$H)+SUMIF('20718'!$E:$E,'JE LOG_FY23'!B19,'20718'!$H:$H)+SUMIF('20723'!$E:$E,'JE LOG_FY23'!B19,'20723'!$H:$H)+SUMIF('20724'!$E:$E,'JE LOG_FY23'!B19,'20724'!$H:$H)+SUMIF('20771'!$E:$E,'JE LOG_FY23'!B19,'20771'!$H:$H)+SUMIF('20735'!$E:$E,'JE LOG_FY23'!B19,'20735'!$H:$H)+SUMIF('20792'!$E:$E,'JE LOG_FY23'!B19,'20792'!$H:$H)</f>
        <v>226341</v>
      </c>
    </row>
    <row r="20" spans="1:8" x14ac:dyDescent="0.4">
      <c r="B20" s="49" t="s">
        <v>321</v>
      </c>
      <c r="C20" s="50">
        <f>SUMIF('10085'!$E:$E,'JE LOG_FY23'!B20,'10085'!$H:$H)+SUMIF('10098'!$E:$E,'JE LOG_FY23'!B20,'10098'!$H:$H)+SUMIF('10146'!$E:$E,'JE LOG_FY23'!B20,'10146'!$H:$H)+SUMIF('20179'!$E:$E,'JE LOG_FY23'!B20,'20179'!$H:$H)+SUMIF('20336'!$E:$E,'JE LOG_FY23'!B20,'20336'!$H:$H)+SUMIF('20431'!$E:$E,'JE LOG_FY23'!B20,'20431'!$H:$H)+SUMIF('20478'!$E:$E,'JE LOG_FY23'!B20,'20478'!$H:$H)+SUMIF('20489'!$E:$E,'JE LOG_FY23'!B20,'20489'!$H:$H)+SUMIF('20497'!$E:$E,'JE LOG_FY23'!B20,'20497'!$H:$H)+SUMIF('20506'!$E:$E,'JE LOG_FY23'!B20,'20506'!$H:$H)++SUMIF('20562'!$E:$E,'JE LOG_FY23'!B20,'20562'!$H:$H)+SUMIF('20566'!$E:$E,'JE LOG_FY23'!B20,'20566'!$H:$H)+SUMIF('20573'!$E:$E,'JE LOG_FY23'!B20,'20573'!$H:$H)+SUMIF('20574'!$E:$E,'JE LOG_FY23'!B20,'20574'!$H:$H)+SUMIF('20577'!$E:$E,'JE LOG_FY23'!B20,'20577'!$H:$H)+SUMIF('20644'!$E:$E,'JE LOG_FY23'!B20,'20644'!$H:$H)+SUMIF('20645'!$E:$E,'JE LOG_FY23'!B20,'20645'!$H:$H)+SUMIF('20667'!$E:$E,'JE LOG_FY23'!B20,'20667'!$H:$H)+SUMIF('20668'!$E:$E,'JE LOG_FY23'!B20,'20668'!$H:$H)+SUMIF('20698'!$E:$E,'JE LOG_FY23'!B20,'20698'!$H:$H)+SUMIF('20700'!$E:$E,'JE LOG_FY23'!B20,'20700'!$H:$H)+SUMIF('20701'!$E:$E,'JE LOG_FY23'!B20,'20701'!$H:$H)+SUMIF('20702'!$E:$E,'JE LOG_FY23'!B20,'20702'!$H:$H)+SUMIF('20718'!$E:$E,'JE LOG_FY23'!B20,'20718'!$H:$H)+SUMIF('20723'!$E:$E,'JE LOG_FY23'!B20,'20723'!$H:$H)+SUMIF('20724'!$E:$E,'JE LOG_FY23'!B20,'20724'!$H:$H)+SUMIF('20771'!$E:$E,'JE LOG_FY23'!B20,'20771'!$H:$H)+SUMIF('20735'!$E:$E,'JE LOG_FY23'!B20,'20735'!$H:$H)+SUMIF('20792'!$E:$E,'JE LOG_FY23'!B20,'20792'!$H:$H)</f>
        <v>478940</v>
      </c>
    </row>
    <row r="21" spans="1:8" x14ac:dyDescent="0.4">
      <c r="A21" s="79"/>
      <c r="B21" s="56" t="s">
        <v>146</v>
      </c>
      <c r="C21" s="57">
        <f>SUM(C9:C20)</f>
        <v>8797286.2599999998</v>
      </c>
      <c r="D21" s="79">
        <f>C21/C5</f>
        <v>0.93942946227021862</v>
      </c>
      <c r="H21" s="79"/>
    </row>
    <row r="24" spans="1:8" x14ac:dyDescent="0.4">
      <c r="A24" s="79"/>
      <c r="B24" s="52" t="s">
        <v>138</v>
      </c>
      <c r="C24" s="53">
        <f>C5-C21</f>
        <v>567212.74000000022</v>
      </c>
      <c r="D24" s="79">
        <f>C24/C5</f>
        <v>6.0570537729781403E-2</v>
      </c>
      <c r="H24" s="79"/>
    </row>
  </sheetData>
  <hyperlinks>
    <hyperlink ref="A1" location="'Project Status'!A1" display="'Project Status'!A1" xr:uid="{D54CCFE6-2282-4CB1-A38A-149F87628119}"/>
  </hyperlink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3A49-199E-41F3-880B-5FEB24366C98}">
  <sheetPr>
    <tabColor theme="7"/>
  </sheetPr>
  <dimension ref="A1:C12"/>
  <sheetViews>
    <sheetView zoomScaleNormal="100" workbookViewId="0">
      <pane ySplit="3" topLeftCell="A4" activePane="bottomLeft" state="frozen"/>
      <selection pane="bottomLeft" activeCell="A2" sqref="A2"/>
    </sheetView>
  </sheetViews>
  <sheetFormatPr defaultRowHeight="14.6" x14ac:dyDescent="0.4"/>
  <cols>
    <col min="1" max="1" width="39.53515625" bestFit="1" customWidth="1"/>
    <col min="2" max="2" width="15.69140625" bestFit="1" customWidth="1"/>
    <col min="3" max="3" width="16.23046875" bestFit="1" customWidth="1"/>
    <col min="4" max="4" width="16" bestFit="1" customWidth="1"/>
  </cols>
  <sheetData>
    <row r="1" spans="1:3" s="8" customFormat="1" x14ac:dyDescent="0.4">
      <c r="A1" s="10" t="s">
        <v>208</v>
      </c>
      <c r="B1"/>
      <c r="C1"/>
    </row>
    <row r="3" spans="1:3" x14ac:dyDescent="0.4">
      <c r="A3" s="26" t="s">
        <v>117</v>
      </c>
      <c r="B3" t="s">
        <v>121</v>
      </c>
      <c r="C3" t="s">
        <v>119</v>
      </c>
    </row>
    <row r="4" spans="1:3" x14ac:dyDescent="0.4">
      <c r="A4" s="27" t="s">
        <v>10</v>
      </c>
      <c r="B4" s="28">
        <v>5127745</v>
      </c>
      <c r="C4" s="28">
        <v>5045708</v>
      </c>
    </row>
    <row r="5" spans="1:3" x14ac:dyDescent="0.4">
      <c r="A5" s="22" t="s">
        <v>150</v>
      </c>
      <c r="B5" s="28">
        <v>125875</v>
      </c>
      <c r="C5" s="28">
        <v>125875</v>
      </c>
    </row>
    <row r="6" spans="1:3" x14ac:dyDescent="0.4">
      <c r="A6" s="22" t="s">
        <v>161</v>
      </c>
      <c r="B6" s="28">
        <v>886870</v>
      </c>
      <c r="C6" s="28">
        <v>886490</v>
      </c>
    </row>
    <row r="7" spans="1:3" x14ac:dyDescent="0.4">
      <c r="A7" s="22" t="s">
        <v>209</v>
      </c>
      <c r="B7" s="28"/>
      <c r="C7" s="28">
        <v>29250</v>
      </c>
    </row>
    <row r="8" spans="1:3" x14ac:dyDescent="0.4">
      <c r="A8" s="22" t="s">
        <v>210</v>
      </c>
      <c r="B8" s="28">
        <v>500000</v>
      </c>
      <c r="C8" s="28">
        <v>499093</v>
      </c>
    </row>
    <row r="9" spans="1:3" x14ac:dyDescent="0.4">
      <c r="A9" s="22" t="s">
        <v>249</v>
      </c>
      <c r="B9" s="28">
        <v>2900000</v>
      </c>
      <c r="C9" s="28">
        <v>2790000</v>
      </c>
    </row>
    <row r="10" spans="1:3" x14ac:dyDescent="0.4">
      <c r="A10" s="22" t="s">
        <v>269</v>
      </c>
      <c r="B10" s="28">
        <v>715000</v>
      </c>
      <c r="C10" s="28">
        <v>715000</v>
      </c>
    </row>
    <row r="11" spans="1:3" x14ac:dyDescent="0.4">
      <c r="A11" s="22" t="s">
        <v>354</v>
      </c>
      <c r="B11" s="28"/>
      <c r="C11" s="28">
        <v>0</v>
      </c>
    </row>
    <row r="12" spans="1:3" x14ac:dyDescent="0.4">
      <c r="A12" s="27" t="s">
        <v>118</v>
      </c>
      <c r="B12" s="28">
        <v>5127745</v>
      </c>
      <c r="C12" s="28">
        <v>5045708</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07FA-F034-49AD-8421-4944DA9DDFAC}">
  <sheetPr>
    <tabColor theme="0"/>
  </sheetPr>
  <dimension ref="A1:J26"/>
  <sheetViews>
    <sheetView zoomScaleNormal="100" workbookViewId="0"/>
  </sheetViews>
  <sheetFormatPr defaultRowHeight="14.6" x14ac:dyDescent="0.4"/>
  <cols>
    <col min="1" max="1" width="5.69140625" customWidth="1"/>
    <col min="2" max="2" width="23.3046875" bestFit="1" customWidth="1"/>
    <col min="3" max="3" width="15.3046875" style="44" bestFit="1" customWidth="1"/>
    <col min="4" max="4" width="5.69140625" customWidth="1"/>
    <col min="6" max="6" width="14.3046875" bestFit="1" customWidth="1"/>
    <col min="8" max="8" width="5.69140625" customWidth="1"/>
    <col min="20" max="20" width="9.3046875" customWidth="1"/>
  </cols>
  <sheetData>
    <row r="1" spans="1:10" x14ac:dyDescent="0.4">
      <c r="A1" s="169" t="s">
        <v>285</v>
      </c>
    </row>
    <row r="2" spans="1:10" x14ac:dyDescent="0.4">
      <c r="B2" s="48" t="s">
        <v>142</v>
      </c>
    </row>
    <row r="3" spans="1:10" x14ac:dyDescent="0.4">
      <c r="B3" t="s">
        <v>144</v>
      </c>
      <c r="E3" s="48" t="s">
        <v>346</v>
      </c>
    </row>
    <row r="4" spans="1:10" x14ac:dyDescent="0.4">
      <c r="B4" s="49" t="s">
        <v>337</v>
      </c>
      <c r="C4" s="50">
        <f>Contributions!G14</f>
        <v>11029283.289999999</v>
      </c>
      <c r="E4" s="22" t="s">
        <v>140</v>
      </c>
      <c r="F4" s="44">
        <f>SUMIF('10085'!$E:$E,'JE LOG_FY24'!E4,'10085'!$H:$H)+SUMIF('10098'!$E:$E,'JE LOG_FY24'!E4,'10098'!$H:$H)+SUMIF('10146'!$E:$E,'JE LOG_FY24'!E4,'10146'!$H:$H)+SUMIF('20179'!$E:$E,'JE LOG_FY24'!E4,'20179'!$H:$H)+SUMIF('20336'!$E:$E,'JE LOG_FY24'!E4,'20336'!$H:$H)+SUMIF('20431'!$E:$E,'JE LOG_FY24'!E4,'20431'!$H:$H)+SUMIF('20478'!$E:$E,'JE LOG_FY24'!E4,'20478'!$H:$H)+SUMIF('20489'!$E:$E,'JE LOG_FY24'!E4,'20489'!$H:$H)+SUMIF('20497'!$E:$E,'JE LOG_FY24'!E4,'20497'!$H:$H)+SUMIF('20506'!$E:$E,'JE LOG_FY24'!E4,'20506'!$H:$H)++SUMIF('20562'!$E:$E,'JE LOG_FY24'!E4,'20562'!$H:$H)+SUMIF('20566'!$E:$E,'JE LOG_FY24'!E4,'20566'!$H:$H)+SUMIF('20573'!$E:$E,'JE LOG_FY24'!E4,'20573'!$H:$H)+SUMIF('20574'!$E:$E,'JE LOG_FY24'!E4,'20574'!$H:$H)+SUMIF('20577'!$E:$E,'JE LOG_FY24'!E4,'20577'!$H:$H)+SUMIF('20644'!$E:$E,'JE LOG_FY24'!E4,'20644'!$H:$H)+SUMIF('20645'!$E:$E,'JE LOG_FY24'!E4,'20645'!$H:$H)+SUMIF('20667'!$E:$E,'JE LOG_FY24'!E4,'20667'!$H:$H)+SUMIF('20668'!$E:$E,'JE LOG_FY24'!E4,'20668'!$H:$H)+SUMIF('20698'!$E:$E,'JE LOG_FY24'!E4,'20698'!$H:$H)+SUMIF('20700'!$E:$E,'JE LOG_FY24'!E4,'20700'!$H:$H)+SUMIF('20701'!$E:$E,'JE LOG_FY24'!E4,'20701'!$H:$H)+SUMIF('20702'!$E:$E,'JE LOG_FY24'!E4,'20702'!$H:$H)+SUMIF('20718'!$E:$E,'JE LOG_FY24'!E4,'20718'!$H:$H)+SUMIF('20723'!$E:$E,'JE LOG_FY24'!E4,'20723'!$H:$H)+SUMIF('20724'!$E:$E,'JE LOG_FY24'!E4,'20724'!$H:$H)+SUMIF('20771'!$E:$E,'JE LOG_FY24'!E4,'20771'!$H:$H)+SUMIF('20735'!$E:$E,'JE LOG_FY24'!E4,'20735'!$H:$H)+SUMIF('20792'!$E:$E,'JE LOG_FY24'!E4,'20792'!$H:$H)</f>
        <v>0</v>
      </c>
    </row>
    <row r="5" spans="1:10" x14ac:dyDescent="0.4">
      <c r="B5" s="54" t="s">
        <v>147</v>
      </c>
      <c r="C5" s="55">
        <f>SUM(C1:C4)</f>
        <v>11029283.289999999</v>
      </c>
      <c r="J5" s="22"/>
    </row>
    <row r="8" spans="1:10" x14ac:dyDescent="0.4">
      <c r="B8" t="s">
        <v>145</v>
      </c>
      <c r="F8" s="45"/>
    </row>
    <row r="9" spans="1:10" x14ac:dyDescent="0.4">
      <c r="B9" s="22" t="s">
        <v>345</v>
      </c>
      <c r="C9" s="44">
        <f>SUMIF('10085'!$E:$E,'JE LOG_FY24'!B9,'10085'!$H:$H)+SUMIF('10098'!$E:$E,'JE LOG_FY24'!B9,'10098'!$H:$H)+SUMIF('10146'!$E:$E,'JE LOG_FY24'!B9,'10146'!$H:$H)+SUMIF('20179'!$E:$E,'JE LOG_FY24'!B9,'20179'!$H:$H)+SUMIF('20336'!$E:$E,'JE LOG_FY24'!B9,'20336'!$H:$H)+SUMIF('20431'!$E:$E,'JE LOG_FY24'!B9,'20431'!$H:$H)+SUMIF('20478'!$E:$E,'JE LOG_FY24'!B9,'20478'!$H:$H)+SUMIF('20489'!$E:$E,'JE LOG_FY24'!B9,'20489'!$H:$H)+SUMIF('20497'!$E:$E,'JE LOG_FY24'!B9,'20497'!$H:$H)+SUMIF('20506'!$E:$E,'JE LOG_FY24'!B9,'20506'!$H:$H)++SUMIF('20562'!$E:$E,'JE LOG_FY24'!B9,'20562'!$H:$H)+SUMIF('20566'!$E:$E,'JE LOG_FY24'!B9,'20566'!$H:$H)+SUMIF('20573'!$E:$E,'JE LOG_FY24'!B9,'20573'!$H:$H)+SUMIF('20574'!$E:$E,'JE LOG_FY24'!B9,'20574'!$H:$H)+SUMIF('20577'!$E:$E,'JE LOG_FY24'!B9,'20577'!$H:$H)+SUMIF('20644'!$E:$E,'JE LOG_FY24'!B9,'20644'!$H:$H)+SUMIF('20645'!$E:$E,'JE LOG_FY24'!B9,'20645'!$H:$H)+SUMIF('20667'!$E:$E,'JE LOG_FY24'!B9,'20667'!$H:$H)+SUMIF('20668'!$E:$E,'JE LOG_FY24'!B9,'20668'!$H:$H)+SUMIF('20698'!$E:$E,'JE LOG_FY24'!B9,'20698'!$H:$H)+SUMIF('20700'!$E:$E,'JE LOG_FY24'!B9,'20700'!$H:$H)+SUMIF('20701'!$E:$E,'JE LOG_FY24'!B9,'20701'!$H:$H)+SUMIF('20702'!$E:$E,'JE LOG_FY24'!B9,'20702'!$H:$H)+SUMIF('20718'!$E:$E,'JE LOG_FY24'!B9,'20718'!$H:$H)+SUMIF('20723'!$E:$E,'JE LOG_FY24'!B9,'20723'!$H:$H)+SUMIF('20724'!$E:$E,'JE LOG_FY24'!B9,'20724'!$H:$H)+SUMIF('20771'!$E:$E,'JE LOG_FY24'!B9,'20771'!$H:$H)+SUMIF('20735'!$E:$E,'JE LOG_FY24'!B9,'20735'!$H:$H)+SUMIF('20792'!$E:$E,'JE LOG_FY24'!B9,'20792'!$H:$H)</f>
        <v>1028900</v>
      </c>
      <c r="F9" s="159"/>
    </row>
    <row r="10" spans="1:10" x14ac:dyDescent="0.4">
      <c r="B10" s="22"/>
      <c r="F10" s="159"/>
    </row>
    <row r="11" spans="1:10" x14ac:dyDescent="0.4">
      <c r="B11" s="22"/>
      <c r="F11" s="159"/>
    </row>
    <row r="12" spans="1:10" x14ac:dyDescent="0.4">
      <c r="B12" s="22"/>
      <c r="F12" s="159"/>
    </row>
    <row r="13" spans="1:10" x14ac:dyDescent="0.4">
      <c r="B13" s="22"/>
      <c r="F13" s="159"/>
    </row>
    <row r="14" spans="1:10" x14ac:dyDescent="0.4">
      <c r="B14" s="22"/>
      <c r="F14" s="159"/>
    </row>
    <row r="15" spans="1:10" x14ac:dyDescent="0.4">
      <c r="B15" s="22"/>
      <c r="F15" s="159"/>
    </row>
    <row r="16" spans="1:10" x14ac:dyDescent="0.4">
      <c r="B16" s="22"/>
      <c r="F16" s="159"/>
    </row>
    <row r="17" spans="1:8" x14ac:dyDescent="0.4">
      <c r="B17" s="22"/>
      <c r="F17" s="44"/>
    </row>
    <row r="18" spans="1:8" x14ac:dyDescent="0.4">
      <c r="B18" s="22"/>
      <c r="F18" s="44"/>
    </row>
    <row r="19" spans="1:8" x14ac:dyDescent="0.4">
      <c r="B19" s="22"/>
    </row>
    <row r="20" spans="1:8" x14ac:dyDescent="0.4">
      <c r="B20" s="49"/>
      <c r="C20" s="50"/>
    </row>
    <row r="21" spans="1:8" x14ac:dyDescent="0.4">
      <c r="A21" s="79"/>
      <c r="B21" s="56" t="s">
        <v>146</v>
      </c>
      <c r="C21" s="57">
        <f>SUM(C9:C20)</f>
        <v>1028900</v>
      </c>
      <c r="D21" s="79"/>
      <c r="H21" s="79"/>
    </row>
    <row r="23" spans="1:8" x14ac:dyDescent="0.4">
      <c r="B23" s="22" t="s">
        <v>347</v>
      </c>
      <c r="C23" s="44">
        <f>'JE LOG_FY23'!C24</f>
        <v>567212.74000000022</v>
      </c>
    </row>
    <row r="24" spans="1:8" x14ac:dyDescent="0.4">
      <c r="B24" s="22" t="s">
        <v>348</v>
      </c>
      <c r="C24" s="44">
        <f>F4</f>
        <v>0</v>
      </c>
    </row>
    <row r="26" spans="1:8" x14ac:dyDescent="0.4">
      <c r="A26" s="79"/>
      <c r="B26" s="52" t="s">
        <v>138</v>
      </c>
      <c r="C26" s="53">
        <f>C5-C21+C23-C24</f>
        <v>10567596.029999999</v>
      </c>
      <c r="D26" s="79"/>
      <c r="H26" s="79"/>
    </row>
  </sheetData>
  <hyperlinks>
    <hyperlink ref="A1" location="'Project Status'!A1" display="'Project Status'!A1" xr:uid="{730CBDDC-4FC5-4C71-90B3-44A3E957215E}"/>
  </hyperlinks>
  <pageMargins left="0.7" right="0.7" top="0.75" bottom="0.75" header="0.3" footer="0.3"/>
  <pageSetup orientation="portrait" horizontalDpi="4294967295" verticalDpi="4294967295"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C60F-7373-4335-B86B-B4C875BB43D4}">
  <dimension ref="B1:C10"/>
  <sheetViews>
    <sheetView workbookViewId="0">
      <selection activeCell="A12" sqref="A12"/>
    </sheetView>
  </sheetViews>
  <sheetFormatPr defaultRowHeight="14.6" x14ac:dyDescent="0.4"/>
  <cols>
    <col min="2" max="2" width="38.15234375" bestFit="1" customWidth="1"/>
    <col min="3" max="3" width="17.15234375" bestFit="1" customWidth="1"/>
  </cols>
  <sheetData>
    <row r="1" spans="2:3" x14ac:dyDescent="0.4">
      <c r="B1" t="s">
        <v>127</v>
      </c>
      <c r="C1" t="s">
        <v>197</v>
      </c>
    </row>
    <row r="2" spans="2:3" x14ac:dyDescent="0.4">
      <c r="B2" t="s">
        <v>10</v>
      </c>
      <c r="C2" t="s">
        <v>198</v>
      </c>
    </row>
    <row r="3" spans="2:3" x14ac:dyDescent="0.4">
      <c r="B3" t="s">
        <v>12</v>
      </c>
      <c r="C3" t="s">
        <v>200</v>
      </c>
    </row>
    <row r="4" spans="2:3" x14ac:dyDescent="0.4">
      <c r="B4" t="s">
        <v>14</v>
      </c>
      <c r="C4" t="s">
        <v>201</v>
      </c>
    </row>
    <row r="5" spans="2:3" x14ac:dyDescent="0.4">
      <c r="B5" t="s">
        <v>15</v>
      </c>
      <c r="C5" t="s">
        <v>202</v>
      </c>
    </row>
    <row r="6" spans="2:3" x14ac:dyDescent="0.4">
      <c r="B6" t="s">
        <v>156</v>
      </c>
      <c r="C6" t="s">
        <v>203</v>
      </c>
    </row>
    <row r="7" spans="2:3" x14ac:dyDescent="0.4">
      <c r="B7" t="s">
        <v>21</v>
      </c>
      <c r="C7" t="s">
        <v>205</v>
      </c>
    </row>
    <row r="8" spans="2:3" x14ac:dyDescent="0.4">
      <c r="B8" t="s">
        <v>180</v>
      </c>
      <c r="C8" t="s">
        <v>204</v>
      </c>
    </row>
    <row r="9" spans="2:3" x14ac:dyDescent="0.4">
      <c r="B9" t="s">
        <v>26</v>
      </c>
      <c r="C9" t="s">
        <v>199</v>
      </c>
    </row>
    <row r="10" spans="2:3" x14ac:dyDescent="0.4">
      <c r="B10" t="s">
        <v>28</v>
      </c>
      <c r="C10" t="s">
        <v>206</v>
      </c>
    </row>
  </sheetData>
  <sortState xmlns:xlrd2="http://schemas.microsoft.com/office/spreadsheetml/2017/richdata2" ref="B2:B10">
    <sortCondition ref="B2:B10"/>
  </sortState>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CF8A-FD00-48A2-B1BF-939771488841}">
  <dimension ref="A2:E41"/>
  <sheetViews>
    <sheetView workbookViewId="0">
      <pane ySplit="2" topLeftCell="A3" activePane="bottomLeft" state="frozen"/>
      <selection pane="bottomLeft"/>
    </sheetView>
  </sheetViews>
  <sheetFormatPr defaultRowHeight="14.6" x14ac:dyDescent="0.4"/>
  <cols>
    <col min="1" max="1" width="70.3828125" bestFit="1" customWidth="1"/>
    <col min="2" max="2" width="18.3046875" bestFit="1" customWidth="1"/>
    <col min="3" max="3" width="32.69140625" bestFit="1" customWidth="1"/>
    <col min="4" max="4" width="10.53515625" bestFit="1" customWidth="1"/>
    <col min="5" max="5" width="14.3828125" bestFit="1" customWidth="1"/>
  </cols>
  <sheetData>
    <row r="2" spans="1:5" x14ac:dyDescent="0.4">
      <c r="A2" s="1" t="s">
        <v>0</v>
      </c>
      <c r="B2" s="1" t="s">
        <v>1</v>
      </c>
      <c r="C2" s="1" t="s">
        <v>2</v>
      </c>
      <c r="D2" s="2" t="s">
        <v>3</v>
      </c>
      <c r="E2" s="1" t="s">
        <v>79</v>
      </c>
    </row>
    <row r="3" spans="1:5" x14ac:dyDescent="0.4">
      <c r="A3" s="3" t="s">
        <v>4</v>
      </c>
      <c r="B3" s="3" t="s">
        <v>5</v>
      </c>
      <c r="C3" s="3" t="s">
        <v>6</v>
      </c>
      <c r="D3" s="4">
        <v>5849.5212318270642</v>
      </c>
      <c r="E3" s="3" t="s">
        <v>80</v>
      </c>
    </row>
    <row r="4" spans="1:5" x14ac:dyDescent="0.4">
      <c r="A4" s="3" t="s">
        <v>7</v>
      </c>
      <c r="B4" s="3" t="s">
        <v>8</v>
      </c>
      <c r="C4" s="3" t="s">
        <v>9</v>
      </c>
      <c r="D4" s="4">
        <v>26280.621188951438</v>
      </c>
      <c r="E4" s="3" t="s">
        <v>80</v>
      </c>
    </row>
    <row r="5" spans="1:5" x14ac:dyDescent="0.4">
      <c r="A5" s="3" t="s">
        <v>10</v>
      </c>
      <c r="B5" s="3" t="s">
        <v>11</v>
      </c>
      <c r="C5" s="3" t="s">
        <v>9</v>
      </c>
      <c r="D5" s="4">
        <v>1075461.7320675128</v>
      </c>
      <c r="E5" s="3" t="s">
        <v>81</v>
      </c>
    </row>
    <row r="6" spans="1:5" x14ac:dyDescent="0.4">
      <c r="A6" s="3" t="s">
        <v>12</v>
      </c>
      <c r="B6" s="3" t="s">
        <v>13</v>
      </c>
      <c r="C6" s="3" t="s">
        <v>9</v>
      </c>
      <c r="D6" s="4">
        <v>121421.42689276834</v>
      </c>
      <c r="E6" s="3" t="s">
        <v>81</v>
      </c>
    </row>
    <row r="7" spans="1:5" x14ac:dyDescent="0.4">
      <c r="A7" s="3" t="s">
        <v>14</v>
      </c>
      <c r="B7" s="3" t="s">
        <v>13</v>
      </c>
      <c r="C7" s="3" t="s">
        <v>9</v>
      </c>
      <c r="D7" s="4">
        <v>57814.730923479161</v>
      </c>
      <c r="E7" s="3" t="s">
        <v>81</v>
      </c>
    </row>
    <row r="8" spans="1:5" x14ac:dyDescent="0.4">
      <c r="A8" s="3" t="s">
        <v>15</v>
      </c>
      <c r="B8" s="3" t="s">
        <v>16</v>
      </c>
      <c r="C8" s="3" t="s">
        <v>9</v>
      </c>
      <c r="D8" s="4">
        <v>537962.332719445</v>
      </c>
      <c r="E8" s="3" t="s">
        <v>81</v>
      </c>
    </row>
    <row r="9" spans="1:5" x14ac:dyDescent="0.4">
      <c r="A9" s="3" t="s">
        <v>17</v>
      </c>
      <c r="B9" s="3" t="s">
        <v>18</v>
      </c>
      <c r="C9" s="3" t="s">
        <v>9</v>
      </c>
      <c r="D9" s="4">
        <v>6753.6106722595432</v>
      </c>
      <c r="E9" s="3" t="s">
        <v>80</v>
      </c>
    </row>
    <row r="10" spans="1:5" x14ac:dyDescent="0.4">
      <c r="A10" s="3" t="s">
        <v>19</v>
      </c>
      <c r="B10" s="3" t="s">
        <v>20</v>
      </c>
      <c r="C10" s="3" t="s">
        <v>9</v>
      </c>
      <c r="D10" s="4">
        <v>120155.48460329951</v>
      </c>
      <c r="E10" s="3" t="s">
        <v>81</v>
      </c>
    </row>
    <row r="11" spans="1:5" x14ac:dyDescent="0.4">
      <c r="A11" s="3" t="s">
        <v>21</v>
      </c>
      <c r="B11" s="3" t="s">
        <v>22</v>
      </c>
      <c r="C11" s="3" t="s">
        <v>9</v>
      </c>
      <c r="D11" s="4">
        <v>280022.39987629937</v>
      </c>
      <c r="E11" s="3" t="s">
        <v>81</v>
      </c>
    </row>
    <row r="12" spans="1:5" x14ac:dyDescent="0.4">
      <c r="A12" s="3" t="s">
        <v>23</v>
      </c>
      <c r="B12" s="3" t="s">
        <v>24</v>
      </c>
      <c r="C12" s="3" t="s">
        <v>9</v>
      </c>
      <c r="D12" s="4">
        <v>42799</v>
      </c>
      <c r="E12" s="3" t="s">
        <v>80</v>
      </c>
    </row>
    <row r="13" spans="1:5" x14ac:dyDescent="0.4">
      <c r="A13" s="3" t="s">
        <v>25</v>
      </c>
      <c r="B13" s="3" t="s">
        <v>24</v>
      </c>
      <c r="C13" s="3" t="s">
        <v>9</v>
      </c>
      <c r="D13" s="4">
        <v>106166.70000000001</v>
      </c>
      <c r="E13" s="3" t="s">
        <v>81</v>
      </c>
    </row>
    <row r="14" spans="1:5" x14ac:dyDescent="0.4">
      <c r="A14" s="3" t="s">
        <v>26</v>
      </c>
      <c r="B14" s="3" t="s">
        <v>27</v>
      </c>
      <c r="C14" s="3" t="s">
        <v>9</v>
      </c>
      <c r="D14" s="4">
        <v>59008.361666666671</v>
      </c>
      <c r="E14" s="3" t="s">
        <v>81</v>
      </c>
    </row>
    <row r="15" spans="1:5" x14ac:dyDescent="0.4">
      <c r="A15" s="3" t="s">
        <v>28</v>
      </c>
      <c r="B15" s="3" t="s">
        <v>29</v>
      </c>
      <c r="C15" s="3" t="s">
        <v>9</v>
      </c>
      <c r="D15" s="4">
        <v>390796.88477064227</v>
      </c>
      <c r="E15" s="3" t="s">
        <v>81</v>
      </c>
    </row>
    <row r="16" spans="1:5" x14ac:dyDescent="0.4">
      <c r="A16" s="3" t="s">
        <v>30</v>
      </c>
      <c r="B16" s="3" t="s">
        <v>18</v>
      </c>
      <c r="C16" s="3" t="s">
        <v>9</v>
      </c>
      <c r="D16" s="4">
        <v>25005.846570989575</v>
      </c>
      <c r="E16" s="3" t="s">
        <v>80</v>
      </c>
    </row>
    <row r="17" spans="1:5" x14ac:dyDescent="0.4">
      <c r="A17" s="3" t="s">
        <v>31</v>
      </c>
      <c r="B17" s="3" t="s">
        <v>18</v>
      </c>
      <c r="C17" s="3" t="s">
        <v>9</v>
      </c>
      <c r="D17" s="4">
        <v>51044.647118252149</v>
      </c>
      <c r="E17" s="3" t="s">
        <v>80</v>
      </c>
    </row>
    <row r="18" spans="1:5" x14ac:dyDescent="0.4">
      <c r="A18" s="3" t="s">
        <v>32</v>
      </c>
      <c r="B18" s="3" t="s">
        <v>8</v>
      </c>
      <c r="C18" s="3" t="s">
        <v>9</v>
      </c>
      <c r="D18" s="4">
        <v>99496.175879514602</v>
      </c>
      <c r="E18" s="3" t="s">
        <v>80</v>
      </c>
    </row>
    <row r="19" spans="1:5" x14ac:dyDescent="0.4">
      <c r="A19" s="3" t="s">
        <v>33</v>
      </c>
      <c r="B19" s="3" t="s">
        <v>8</v>
      </c>
      <c r="C19" s="3" t="s">
        <v>9</v>
      </c>
      <c r="D19" s="4">
        <v>15307.647421373516</v>
      </c>
      <c r="E19" s="3" t="s">
        <v>80</v>
      </c>
    </row>
    <row r="20" spans="1:5" x14ac:dyDescent="0.4">
      <c r="A20" s="3" t="s">
        <v>34</v>
      </c>
      <c r="B20" s="3" t="s">
        <v>35</v>
      </c>
      <c r="C20" s="3" t="s">
        <v>9</v>
      </c>
      <c r="D20" s="4">
        <v>2116760.1201187787</v>
      </c>
      <c r="E20" s="3" t="s">
        <v>80</v>
      </c>
    </row>
    <row r="21" spans="1:5" x14ac:dyDescent="0.4">
      <c r="A21" s="3" t="s">
        <v>36</v>
      </c>
      <c r="B21" s="3" t="s">
        <v>37</v>
      </c>
      <c r="C21" s="3" t="s">
        <v>9</v>
      </c>
      <c r="D21" s="4">
        <v>246476.61719623115</v>
      </c>
      <c r="E21" s="3" t="s">
        <v>80</v>
      </c>
    </row>
    <row r="22" spans="1:5" x14ac:dyDescent="0.4">
      <c r="A22" s="3" t="s">
        <v>38</v>
      </c>
      <c r="B22" s="3" t="s">
        <v>37</v>
      </c>
      <c r="C22" s="3" t="s">
        <v>9</v>
      </c>
      <c r="D22" s="4">
        <v>131042.94999999998</v>
      </c>
      <c r="E22" s="3" t="s">
        <v>80</v>
      </c>
    </row>
    <row r="23" spans="1:5" x14ac:dyDescent="0.4">
      <c r="A23" s="3" t="s">
        <v>39</v>
      </c>
      <c r="B23" s="3" t="s">
        <v>40</v>
      </c>
      <c r="C23" s="3" t="s">
        <v>9</v>
      </c>
      <c r="D23" s="4">
        <v>523095.4248675995</v>
      </c>
      <c r="E23" s="3" t="s">
        <v>80</v>
      </c>
    </row>
    <row r="24" spans="1:5" x14ac:dyDescent="0.4">
      <c r="A24" s="3" t="s">
        <v>41</v>
      </c>
      <c r="B24" s="3" t="s">
        <v>42</v>
      </c>
      <c r="C24" s="3" t="s">
        <v>43</v>
      </c>
      <c r="D24" s="4">
        <v>431.32019922397944</v>
      </c>
      <c r="E24" s="3" t="s">
        <v>80</v>
      </c>
    </row>
    <row r="25" spans="1:5" x14ac:dyDescent="0.4">
      <c r="A25" s="3" t="s">
        <v>44</v>
      </c>
      <c r="B25" s="3" t="s">
        <v>42</v>
      </c>
      <c r="C25" s="3" t="s">
        <v>43</v>
      </c>
      <c r="D25" s="4">
        <v>285287.78480573674</v>
      </c>
      <c r="E25" s="3" t="s">
        <v>80</v>
      </c>
    </row>
    <row r="26" spans="1:5" x14ac:dyDescent="0.4">
      <c r="A26" s="3" t="s">
        <v>45</v>
      </c>
      <c r="B26" s="3" t="s">
        <v>46</v>
      </c>
      <c r="C26" s="3" t="s">
        <v>43</v>
      </c>
      <c r="D26" s="4">
        <v>106777.90023232829</v>
      </c>
      <c r="E26" s="3" t="s">
        <v>80</v>
      </c>
    </row>
    <row r="27" spans="1:5" x14ac:dyDescent="0.4">
      <c r="A27" s="3" t="s">
        <v>47</v>
      </c>
      <c r="B27" s="3" t="s">
        <v>42</v>
      </c>
      <c r="C27" s="3" t="s">
        <v>43</v>
      </c>
      <c r="D27" s="4">
        <v>21719.545840799812</v>
      </c>
      <c r="E27" s="3" t="s">
        <v>80</v>
      </c>
    </row>
    <row r="28" spans="1:5" x14ac:dyDescent="0.4">
      <c r="A28" s="3" t="s">
        <v>48</v>
      </c>
      <c r="B28" s="3" t="s">
        <v>49</v>
      </c>
      <c r="C28" s="3" t="s">
        <v>43</v>
      </c>
      <c r="D28" s="4">
        <v>21792.819999999996</v>
      </c>
      <c r="E28" s="3" t="s">
        <v>80</v>
      </c>
    </row>
    <row r="29" spans="1:5" x14ac:dyDescent="0.4">
      <c r="A29" s="3" t="s">
        <v>50</v>
      </c>
      <c r="B29" s="3" t="s">
        <v>51</v>
      </c>
      <c r="C29" s="3" t="s">
        <v>52</v>
      </c>
      <c r="D29" s="4">
        <v>493496.09898442903</v>
      </c>
      <c r="E29" s="3" t="s">
        <v>80</v>
      </c>
    </row>
    <row r="30" spans="1:5" x14ac:dyDescent="0.4">
      <c r="A30" s="3" t="s">
        <v>53</v>
      </c>
      <c r="B30" s="3" t="s">
        <v>51</v>
      </c>
      <c r="C30" s="3" t="s">
        <v>52</v>
      </c>
      <c r="D30" s="4">
        <v>312213.46000000002</v>
      </c>
      <c r="E30" s="3" t="s">
        <v>80</v>
      </c>
    </row>
    <row r="31" spans="1:5" x14ac:dyDescent="0.4">
      <c r="A31" s="3" t="s">
        <v>54</v>
      </c>
      <c r="B31" s="3" t="s">
        <v>55</v>
      </c>
      <c r="C31" s="3" t="s">
        <v>56</v>
      </c>
      <c r="D31" s="4">
        <v>672.18763024106249</v>
      </c>
      <c r="E31" s="3" t="s">
        <v>80</v>
      </c>
    </row>
    <row r="32" spans="1:5" x14ac:dyDescent="0.4">
      <c r="A32" s="3" t="s">
        <v>57</v>
      </c>
      <c r="B32" s="3" t="s">
        <v>58</v>
      </c>
      <c r="C32" s="3" t="s">
        <v>59</v>
      </c>
      <c r="D32" s="4">
        <v>1761.2529048317913</v>
      </c>
      <c r="E32" s="3" t="s">
        <v>80</v>
      </c>
    </row>
    <row r="33" spans="1:5" x14ac:dyDescent="0.4">
      <c r="A33" s="3" t="s">
        <v>60</v>
      </c>
      <c r="B33" s="3" t="s">
        <v>82</v>
      </c>
      <c r="C33" s="3" t="s">
        <v>61</v>
      </c>
      <c r="D33" s="4">
        <v>22966.119999999995</v>
      </c>
      <c r="E33" s="3" t="s">
        <v>80</v>
      </c>
    </row>
    <row r="34" spans="1:5" x14ac:dyDescent="0.4">
      <c r="A34" s="3" t="s">
        <v>62</v>
      </c>
      <c r="B34" s="3" t="s">
        <v>63</v>
      </c>
      <c r="C34" s="3" t="s">
        <v>64</v>
      </c>
      <c r="D34" s="4">
        <v>26591.941165500408</v>
      </c>
      <c r="E34" s="3" t="s">
        <v>80</v>
      </c>
    </row>
    <row r="35" spans="1:5" x14ac:dyDescent="0.4">
      <c r="A35" s="3" t="s">
        <v>65</v>
      </c>
      <c r="B35" s="3" t="s">
        <v>83</v>
      </c>
      <c r="C35" s="3" t="s">
        <v>66</v>
      </c>
      <c r="D35" s="4">
        <v>0</v>
      </c>
      <c r="E35" s="3" t="s">
        <v>80</v>
      </c>
    </row>
    <row r="36" spans="1:5" x14ac:dyDescent="0.4">
      <c r="A36" s="3" t="s">
        <v>67</v>
      </c>
      <c r="B36" s="3" t="s">
        <v>68</v>
      </c>
      <c r="C36" s="3" t="s">
        <v>69</v>
      </c>
      <c r="D36" s="4">
        <v>58330.768879439645</v>
      </c>
      <c r="E36" s="3" t="s">
        <v>80</v>
      </c>
    </row>
    <row r="37" spans="1:5" x14ac:dyDescent="0.4">
      <c r="A37" s="3" t="s">
        <v>70</v>
      </c>
      <c r="B37" s="3" t="s">
        <v>71</v>
      </c>
      <c r="C37" s="3" t="s">
        <v>72</v>
      </c>
      <c r="D37" s="4">
        <v>2917.0406595366862</v>
      </c>
      <c r="E37" s="3" t="s">
        <v>80</v>
      </c>
    </row>
    <row r="38" spans="1:5" x14ac:dyDescent="0.4">
      <c r="A38" s="3" t="s">
        <v>73</v>
      </c>
      <c r="B38" s="3" t="s">
        <v>84</v>
      </c>
      <c r="C38" s="3" t="s">
        <v>74</v>
      </c>
      <c r="D38" s="4">
        <v>0</v>
      </c>
      <c r="E38" s="3" t="s">
        <v>80</v>
      </c>
    </row>
    <row r="39" spans="1:5" x14ac:dyDescent="0.4">
      <c r="A39" s="3" t="s">
        <v>75</v>
      </c>
      <c r="B39" s="3" t="s">
        <v>76</v>
      </c>
      <c r="C39" s="3" t="s">
        <v>77</v>
      </c>
      <c r="D39" s="4">
        <v>7838.8727495560652</v>
      </c>
      <c r="E39" s="3" t="s">
        <v>80</v>
      </c>
    </row>
    <row r="40" spans="1:5" x14ac:dyDescent="0.4">
      <c r="A40" s="3" t="s">
        <v>78</v>
      </c>
      <c r="B40" s="3" t="s">
        <v>85</v>
      </c>
      <c r="C40" s="3" t="s">
        <v>6</v>
      </c>
      <c r="D40" s="4">
        <v>0</v>
      </c>
      <c r="E40" s="3" t="s">
        <v>80</v>
      </c>
    </row>
    <row r="41" spans="1:5" x14ac:dyDescent="0.4">
      <c r="A41" s="1"/>
      <c r="B41" s="1"/>
      <c r="C41" s="1"/>
      <c r="D41" s="5">
        <f>SUM(D2:D40)</f>
        <v>7401519.3498375136</v>
      </c>
      <c r="E41" s="1"/>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7A96-22A2-43D0-BD30-BAFCA64195B7}">
  <dimension ref="B3:B18"/>
  <sheetViews>
    <sheetView workbookViewId="0"/>
  </sheetViews>
  <sheetFormatPr defaultRowHeight="14.6" x14ac:dyDescent="0.4"/>
  <cols>
    <col min="1" max="1" width="4.3828125" customWidth="1"/>
  </cols>
  <sheetData>
    <row r="3" spans="2:2" ht="18" x14ac:dyDescent="0.4">
      <c r="B3" s="6" t="s">
        <v>91</v>
      </c>
    </row>
    <row r="4" spans="2:2" ht="18" x14ac:dyDescent="0.4">
      <c r="B4" s="6"/>
    </row>
    <row r="5" spans="2:2" ht="18" x14ac:dyDescent="0.4">
      <c r="B5" s="6"/>
    </row>
    <row r="6" spans="2:2" ht="18" x14ac:dyDescent="0.4">
      <c r="B6" s="6"/>
    </row>
    <row r="7" spans="2:2" ht="18" x14ac:dyDescent="0.4">
      <c r="B7" s="6" t="s">
        <v>92</v>
      </c>
    </row>
    <row r="8" spans="2:2" ht="18" x14ac:dyDescent="0.4">
      <c r="B8" s="7" t="s">
        <v>93</v>
      </c>
    </row>
    <row r="9" spans="2:2" ht="18" x14ac:dyDescent="0.4">
      <c r="B9" s="7"/>
    </row>
    <row r="10" spans="2:2" ht="18" x14ac:dyDescent="0.4">
      <c r="B10" s="7"/>
    </row>
    <row r="11" spans="2:2" ht="18" x14ac:dyDescent="0.4">
      <c r="B11" s="7"/>
    </row>
    <row r="12" spans="2:2" ht="18" x14ac:dyDescent="0.4">
      <c r="B12" s="6" t="s">
        <v>94</v>
      </c>
    </row>
    <row r="13" spans="2:2" ht="18" x14ac:dyDescent="0.4">
      <c r="B13" s="7" t="s">
        <v>96</v>
      </c>
    </row>
    <row r="14" spans="2:2" ht="18" x14ac:dyDescent="0.4">
      <c r="B14" s="7" t="s">
        <v>98</v>
      </c>
    </row>
    <row r="15" spans="2:2" ht="18" x14ac:dyDescent="0.4">
      <c r="B15" s="7"/>
    </row>
    <row r="16" spans="2:2" ht="18" x14ac:dyDescent="0.4">
      <c r="B16" s="7"/>
    </row>
    <row r="17" spans="2:2" ht="18" x14ac:dyDescent="0.4">
      <c r="B17" s="6" t="s">
        <v>95</v>
      </c>
    </row>
    <row r="18" spans="2:2" ht="18" x14ac:dyDescent="0.4">
      <c r="B18" s="7"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364-CE3C-4338-A7AA-A05D4160CACA}">
  <sheetPr>
    <tabColor theme="8"/>
  </sheetPr>
  <dimension ref="A1:L25"/>
  <sheetViews>
    <sheetView zoomScaleNormal="100" workbookViewId="0">
      <selection activeCell="L14" sqref="L14"/>
    </sheetView>
  </sheetViews>
  <sheetFormatPr defaultRowHeight="14.6" x14ac:dyDescent="0.4"/>
  <cols>
    <col min="1" max="1" width="26.15234375" customWidth="1"/>
    <col min="2" max="2" width="12.53515625" hidden="1" customWidth="1"/>
    <col min="3" max="12" width="13.84375" customWidth="1"/>
  </cols>
  <sheetData>
    <row r="1" spans="1:12" s="8" customFormat="1" x14ac:dyDescent="0.4">
      <c r="A1" s="84" t="s">
        <v>195</v>
      </c>
      <c r="B1"/>
      <c r="D1"/>
      <c r="E1"/>
      <c r="F1"/>
      <c r="G1"/>
      <c r="H1"/>
      <c r="I1"/>
      <c r="J1"/>
      <c r="K1"/>
      <c r="L1"/>
    </row>
    <row r="2" spans="1:12" s="8" customFormat="1" x14ac:dyDescent="0.4">
      <c r="A2" s="20"/>
      <c r="B2" s="35"/>
      <c r="C2"/>
      <c r="D2"/>
      <c r="E2"/>
      <c r="F2"/>
      <c r="G2"/>
      <c r="H2"/>
      <c r="I2"/>
      <c r="J2"/>
      <c r="K2"/>
      <c r="L2"/>
    </row>
    <row r="3" spans="1:12" ht="15" thickBot="1" x14ac:dyDescent="0.45"/>
    <row r="4" spans="1:12" ht="43.75" customHeight="1" x14ac:dyDescent="0.4">
      <c r="A4" s="23" t="s">
        <v>86</v>
      </c>
      <c r="B4" s="23" t="s">
        <v>99</v>
      </c>
      <c r="C4" s="141" t="s">
        <v>258</v>
      </c>
      <c r="D4" s="142" t="s">
        <v>332</v>
      </c>
      <c r="E4" s="143" t="s">
        <v>124</v>
      </c>
      <c r="F4" s="142" t="s">
        <v>331</v>
      </c>
      <c r="G4" s="144" t="s">
        <v>251</v>
      </c>
      <c r="H4" s="153" t="s">
        <v>259</v>
      </c>
      <c r="I4" s="154" t="s">
        <v>333</v>
      </c>
      <c r="J4" s="143" t="s">
        <v>124</v>
      </c>
      <c r="K4" s="154" t="s">
        <v>256</v>
      </c>
      <c r="L4" s="144" t="s">
        <v>257</v>
      </c>
    </row>
    <row r="5" spans="1:12" x14ac:dyDescent="0.4">
      <c r="A5" t="s">
        <v>198</v>
      </c>
      <c r="B5" s="21">
        <f>Contributions!B5</f>
        <v>1075461.7320675128</v>
      </c>
      <c r="C5" s="145">
        <f>Contributions!C5/1000000</f>
        <v>3.6638259999999998</v>
      </c>
      <c r="D5" s="146">
        <f>SUMIF('Project Status'!G:G,'Shared Building Allocation'!A5,'Project Status'!Q:Q)/1000000</f>
        <v>1.7179739999999999</v>
      </c>
      <c r="E5" s="147">
        <f>D22/1000000</f>
        <v>0.55831562499999998</v>
      </c>
      <c r="F5" s="146">
        <f>D5+E5</f>
        <v>2.276289625</v>
      </c>
      <c r="G5" s="148">
        <f>C5-F5</f>
        <v>1.3875363749999998</v>
      </c>
      <c r="H5" s="155">
        <f>Contributions!G5/1000000</f>
        <v>4.2048135899999997</v>
      </c>
      <c r="I5" s="156">
        <f>SUMIF('Project Status'!G:G,'Shared Building Allocation'!A5,'Project Status'!T:T)/1000000</f>
        <v>1.0288999999999999</v>
      </c>
      <c r="J5" s="147">
        <f>I22/1000000</f>
        <v>0.46882499999999994</v>
      </c>
      <c r="K5" s="156">
        <f t="shared" ref="K5:K13" si="0">I5+J5</f>
        <v>1.497725</v>
      </c>
      <c r="L5" s="148">
        <f>H5-K5</f>
        <v>2.7070885899999997</v>
      </c>
    </row>
    <row r="6" spans="1:12" x14ac:dyDescent="0.4">
      <c r="A6" t="s">
        <v>200</v>
      </c>
      <c r="B6" s="21">
        <f>Contributions!B6</f>
        <v>121421.42689276834</v>
      </c>
      <c r="C6" s="145">
        <f>Contributions!C6/1000000</f>
        <v>0.41365200000000002</v>
      </c>
      <c r="D6" s="146">
        <f>SUMIF('Project Status'!G:G,'Shared Building Allocation'!A6,'Project Status'!Q:Q)/1000000</f>
        <v>0.57428999999999997</v>
      </c>
      <c r="E6" s="147"/>
      <c r="F6" s="146">
        <f t="shared" ref="F6:F13" si="1">D6+E6</f>
        <v>0.57428999999999997</v>
      </c>
      <c r="G6" s="148">
        <f t="shared" ref="G6:G13" si="2">C6-F6</f>
        <v>-0.16063799999999995</v>
      </c>
      <c r="H6" s="155">
        <f>Contributions!G6/1000000</f>
        <v>0.48204136999999997</v>
      </c>
      <c r="I6" s="156">
        <f>SUMIF('Project Status'!G:G,'Shared Building Allocation'!A6,'Project Status'!T:T)/1000000</f>
        <v>1.4765999999999999</v>
      </c>
      <c r="J6" s="147"/>
      <c r="K6" s="156">
        <f t="shared" si="0"/>
        <v>1.4765999999999999</v>
      </c>
      <c r="L6" s="148">
        <f t="shared" ref="L6:L13" si="3">H6-K6</f>
        <v>-0.99455863</v>
      </c>
    </row>
    <row r="7" spans="1:12" x14ac:dyDescent="0.4">
      <c r="A7" t="s">
        <v>201</v>
      </c>
      <c r="B7" s="21">
        <f>Contributions!B7</f>
        <v>57814.730923479161</v>
      </c>
      <c r="C7" s="145">
        <f>Contributions!C7/1000000</f>
        <v>0.19696</v>
      </c>
      <c r="D7" s="146">
        <f>SUMIF('Project Status'!G:G,'Shared Building Allocation'!A7,'Project Status'!Q:Q)/1000000</f>
        <v>9.6362500000000004E-2</v>
      </c>
      <c r="E7" s="147"/>
      <c r="F7" s="146">
        <f t="shared" si="1"/>
        <v>9.6362500000000004E-2</v>
      </c>
      <c r="G7" s="148">
        <f t="shared" si="2"/>
        <v>0.10059749999999999</v>
      </c>
      <c r="H7" s="155">
        <f>Contributions!G7/1000000</f>
        <v>0.23130411000000001</v>
      </c>
      <c r="I7" s="156">
        <f>SUMIF('Project Status'!G:G,'Shared Building Allocation'!A7,'Project Status'!T:T)/1000000</f>
        <v>3.7301375000000001</v>
      </c>
      <c r="J7" s="147"/>
      <c r="K7" s="156">
        <f t="shared" si="0"/>
        <v>3.7301375000000001</v>
      </c>
      <c r="L7" s="148">
        <f t="shared" si="3"/>
        <v>-3.4988333900000002</v>
      </c>
    </row>
    <row r="8" spans="1:12" x14ac:dyDescent="0.4">
      <c r="A8" t="s">
        <v>202</v>
      </c>
      <c r="B8" s="21">
        <f>Contributions!B8</f>
        <v>537962.332719445</v>
      </c>
      <c r="C8" s="145">
        <f>Contributions!C8/1000000</f>
        <v>1.8327009999999999</v>
      </c>
      <c r="D8" s="146">
        <f>SUMIF('Project Status'!G:G,'Shared Building Allocation'!A8,'Project Status'!Q:Q)/1000000</f>
        <v>0.35299999999999998</v>
      </c>
      <c r="E8" s="147"/>
      <c r="F8" s="146">
        <f t="shared" si="1"/>
        <v>0.35299999999999998</v>
      </c>
      <c r="G8" s="148">
        <f t="shared" si="2"/>
        <v>1.4797009999999999</v>
      </c>
      <c r="H8" s="155">
        <f>Contributions!G8/1000000</f>
        <v>2.1933376600000001</v>
      </c>
      <c r="I8" s="156">
        <f>SUMIF('Project Status'!G:G,'Shared Building Allocation'!A8,'Project Status'!T:T)/1000000</f>
        <v>7.0000000000000007E-2</v>
      </c>
      <c r="J8" s="147"/>
      <c r="K8" s="156">
        <f t="shared" si="0"/>
        <v>7.0000000000000007E-2</v>
      </c>
      <c r="L8" s="148">
        <f t="shared" si="3"/>
        <v>2.1233376600000002</v>
      </c>
    </row>
    <row r="9" spans="1:12" x14ac:dyDescent="0.4">
      <c r="A9" t="s">
        <v>203</v>
      </c>
      <c r="B9" s="21">
        <f>Contributions!B9</f>
        <v>120155.48460329951</v>
      </c>
      <c r="C9" s="145">
        <f>Contributions!C9/1000000</f>
        <v>0.40933900000000001</v>
      </c>
      <c r="D9" s="146">
        <f>SUMIF('Project Status'!G:G,'Shared Building Allocation'!A9,'Project Status'!Q:Q)/1000000</f>
        <v>1.2061345000000001</v>
      </c>
      <c r="E9" s="147"/>
      <c r="F9" s="146">
        <f t="shared" si="1"/>
        <v>1.2061345000000001</v>
      </c>
      <c r="G9" s="148">
        <f t="shared" si="2"/>
        <v>-0.7967955000000001</v>
      </c>
      <c r="H9" s="155">
        <f>Contributions!G9/1000000</f>
        <v>0.47701535000000006</v>
      </c>
      <c r="I9" s="156">
        <f>SUMIF('Project Status'!G:G,'Shared Building Allocation'!A9,'Project Status'!T:T)/1000000</f>
        <v>0</v>
      </c>
      <c r="J9" s="147"/>
      <c r="K9" s="156">
        <f t="shared" si="0"/>
        <v>0</v>
      </c>
      <c r="L9" s="148">
        <f t="shared" si="3"/>
        <v>0.47701535000000006</v>
      </c>
    </row>
    <row r="10" spans="1:12" x14ac:dyDescent="0.4">
      <c r="A10" t="s">
        <v>205</v>
      </c>
      <c r="B10" s="21">
        <f>Contributions!B10</f>
        <v>280022.39987629937</v>
      </c>
      <c r="C10" s="145">
        <f>Contributions!C10/1000000</f>
        <v>0.95396499999999995</v>
      </c>
      <c r="D10" s="146">
        <f>SUMIF('Project Status'!G:G,'Shared Building Allocation'!A10,'Project Status'!Q:Q)/1000000</f>
        <v>1.5951875</v>
      </c>
      <c r="E10" s="147">
        <f>-D22/1000000</f>
        <v>-0.55831562499999998</v>
      </c>
      <c r="F10" s="146">
        <f t="shared" si="1"/>
        <v>1.0368718750000001</v>
      </c>
      <c r="G10" s="148">
        <f t="shared" si="2"/>
        <v>-8.2906875000000158E-2</v>
      </c>
      <c r="H10" s="155">
        <f>Contributions!G10/1000000</f>
        <v>1.0547257800000001</v>
      </c>
      <c r="I10" s="156">
        <f>SUMIF('Project Status'!G:G,'Shared Building Allocation'!A10,'Project Status'!T:T)/1000000</f>
        <v>1.3394999999999999</v>
      </c>
      <c r="J10" s="147">
        <f>-I22/1000000</f>
        <v>-0.46882499999999994</v>
      </c>
      <c r="K10" s="156">
        <f t="shared" si="0"/>
        <v>0.87067499999999998</v>
      </c>
      <c r="L10" s="148">
        <f t="shared" si="3"/>
        <v>0.18405078000000008</v>
      </c>
    </row>
    <row r="11" spans="1:12" x14ac:dyDescent="0.4">
      <c r="A11" t="s">
        <v>204</v>
      </c>
      <c r="B11" s="21">
        <f>Contributions!B11</f>
        <v>106166.70000000001</v>
      </c>
      <c r="C11" s="145">
        <f>Contributions!C11/1000000</f>
        <v>0.36168299999999998</v>
      </c>
      <c r="D11" s="146">
        <f>SUMIF('Project Status'!G:G,'Shared Building Allocation'!A11,'Project Status'!Q:Q)/1000000</f>
        <v>4.8999999999999998E-3</v>
      </c>
      <c r="E11" s="147"/>
      <c r="F11" s="146">
        <f t="shared" si="1"/>
        <v>4.8999999999999998E-3</v>
      </c>
      <c r="G11" s="148">
        <f t="shared" si="2"/>
        <v>0.35678299999999996</v>
      </c>
      <c r="H11" s="155">
        <f>Contributions!G11/1000000</f>
        <v>0.41981162</v>
      </c>
      <c r="I11" s="156">
        <f>SUMIF('Project Status'!G:G,'Shared Building Allocation'!A11,'Project Status'!T:T)/1000000</f>
        <v>0</v>
      </c>
      <c r="J11" s="147"/>
      <c r="K11" s="156">
        <f t="shared" si="0"/>
        <v>0</v>
      </c>
      <c r="L11" s="148">
        <f t="shared" si="3"/>
        <v>0.41981162</v>
      </c>
    </row>
    <row r="12" spans="1:12" x14ac:dyDescent="0.4">
      <c r="A12" t="s">
        <v>199</v>
      </c>
      <c r="B12" s="21">
        <f>Contributions!B12</f>
        <v>59008.361666666671</v>
      </c>
      <c r="C12" s="145">
        <f>Contributions!C12/1000000</f>
        <v>0.20102700000000001</v>
      </c>
      <c r="D12" s="146">
        <f>SUMIF('Project Status'!G:G,'Shared Building Allocation'!A12,'Project Status'!Q:Q)/1000000</f>
        <v>0.3</v>
      </c>
      <c r="E12" s="147"/>
      <c r="F12" s="146">
        <f t="shared" si="1"/>
        <v>0.3</v>
      </c>
      <c r="G12" s="148">
        <f t="shared" si="2"/>
        <v>-9.8972999999999978E-2</v>
      </c>
      <c r="H12" s="155">
        <f>Contributions!G12/1000000</f>
        <v>0.39358580000000004</v>
      </c>
      <c r="I12" s="156">
        <f>SUMIF('Project Status'!G:G,'Shared Building Allocation'!A12,'Project Status'!T:T)/1000000</f>
        <v>0</v>
      </c>
      <c r="J12" s="147"/>
      <c r="K12" s="156">
        <f t="shared" si="0"/>
        <v>0</v>
      </c>
      <c r="L12" s="148">
        <f t="shared" si="3"/>
        <v>0.39358580000000004</v>
      </c>
    </row>
    <row r="13" spans="1:12" x14ac:dyDescent="0.4">
      <c r="A13" t="s">
        <v>206</v>
      </c>
      <c r="B13" s="21">
        <f>Contributions!B13</f>
        <v>390796.88477064227</v>
      </c>
      <c r="C13" s="145">
        <f>Contributions!C13/1000000</f>
        <v>1.3313459999999999</v>
      </c>
      <c r="D13" s="146">
        <f>SUMIF('Project Status'!G:G,'Shared Building Allocation'!A13,'Project Status'!Q:Q)/1000000</f>
        <v>2.9494377599999999</v>
      </c>
      <c r="E13" s="147"/>
      <c r="F13" s="146">
        <f t="shared" si="1"/>
        <v>2.9494377599999999</v>
      </c>
      <c r="G13" s="148">
        <f t="shared" si="2"/>
        <v>-1.61809176</v>
      </c>
      <c r="H13" s="155">
        <f>Contributions!G13/1000000</f>
        <v>1.57264801</v>
      </c>
      <c r="I13" s="156">
        <f>SUMIF('Project Status'!G:G,'Shared Building Allocation'!A13,'Project Status'!T:T)/1000000</f>
        <v>3.5000000000000003E-2</v>
      </c>
      <c r="J13" s="147"/>
      <c r="K13" s="156">
        <f t="shared" si="0"/>
        <v>3.5000000000000003E-2</v>
      </c>
      <c r="L13" s="148">
        <f t="shared" si="3"/>
        <v>1.5376480100000001</v>
      </c>
    </row>
    <row r="14" spans="1:12" ht="15" thickBot="1" x14ac:dyDescent="0.45">
      <c r="A14" s="25"/>
      <c r="B14" s="25">
        <v>2748810.0535201132</v>
      </c>
      <c r="C14" s="149">
        <f>SUM(C5:C13)</f>
        <v>9.3644990000000004</v>
      </c>
      <c r="D14" s="150">
        <f>SUM(D5:D13)</f>
        <v>8.7972862599999999</v>
      </c>
      <c r="E14" s="151"/>
      <c r="F14" s="150">
        <f>SUM(F5:F13)</f>
        <v>8.7972862599999999</v>
      </c>
      <c r="G14" s="152">
        <f>SUM(G5:G13)</f>
        <v>0.56721273999999955</v>
      </c>
      <c r="H14" s="157">
        <f>SUM(H5:H13)</f>
        <v>11.02928329</v>
      </c>
      <c r="I14" s="158">
        <f>SUM(I5:I13)</f>
        <v>7.6801374999999998</v>
      </c>
      <c r="J14" s="151"/>
      <c r="K14" s="158">
        <f>SUM(K5:K13)</f>
        <v>7.6801375000000007</v>
      </c>
      <c r="L14" s="152">
        <f>SUM(L5:L13)</f>
        <v>3.3491457900000001</v>
      </c>
    </row>
    <row r="18" spans="1:9" x14ac:dyDescent="0.4">
      <c r="A18" s="20" t="s">
        <v>120</v>
      </c>
    </row>
    <row r="19" spans="1:9" s="20" customFormat="1" x14ac:dyDescent="0.4">
      <c r="D19" s="31" t="s">
        <v>329</v>
      </c>
      <c r="I19" s="31" t="s">
        <v>330</v>
      </c>
    </row>
    <row r="20" spans="1:9" s="20" customFormat="1" x14ac:dyDescent="0.4">
      <c r="C20" s="51" t="s">
        <v>149</v>
      </c>
      <c r="D20" s="32">
        <f>SUMIF('Project Status'!H:H,'Shared Building Allocation'!C20,'Project Status'!Q:Q)</f>
        <v>1595187.5</v>
      </c>
      <c r="I20" s="32">
        <f>SUMIF('Project Status'!H:H,'Shared Building Allocation'!C20,'Project Status'!T:T)</f>
        <v>1339500</v>
      </c>
    </row>
    <row r="21" spans="1:9" s="20" customFormat="1" ht="6.45" customHeight="1" x14ac:dyDescent="0.4">
      <c r="D21" s="32"/>
      <c r="I21" s="32"/>
    </row>
    <row r="22" spans="1:9" s="20" customFormat="1" x14ac:dyDescent="0.4">
      <c r="C22" s="34" t="s">
        <v>122</v>
      </c>
      <c r="D22" s="32">
        <f>D20*0.35</f>
        <v>558315.625</v>
      </c>
      <c r="I22" s="32">
        <f>I20*0.35</f>
        <v>468824.99999999994</v>
      </c>
    </row>
    <row r="23" spans="1:9" s="20" customFormat="1" x14ac:dyDescent="0.4">
      <c r="C23" s="34" t="s">
        <v>123</v>
      </c>
      <c r="D23" s="32">
        <f>D20*0.65</f>
        <v>1036871.875</v>
      </c>
      <c r="I23" s="32">
        <f>I20*0.65</f>
        <v>870675</v>
      </c>
    </row>
    <row r="24" spans="1:9" s="20" customFormat="1" x14ac:dyDescent="0.4">
      <c r="D24" s="33">
        <f>SUM(D22:D23)</f>
        <v>1595187.5</v>
      </c>
      <c r="I24" s="33">
        <f>SUM(I22:I23)</f>
        <v>1339500</v>
      </c>
    </row>
    <row r="25" spans="1:9" s="20" customFormat="1" x14ac:dyDescent="0.4"/>
  </sheetData>
  <pageMargins left="0.7" right="0.7" top="0.75" bottom="0.75" header="0.3" footer="0.3"/>
  <pageSetup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504F-7CD2-4C1C-A600-054965C2636B}">
  <sheetPr>
    <tabColor theme="5"/>
  </sheetPr>
  <dimension ref="A1:L24"/>
  <sheetViews>
    <sheetView zoomScaleNormal="100" workbookViewId="0">
      <selection activeCell="K1" sqref="K1"/>
    </sheetView>
  </sheetViews>
  <sheetFormatPr defaultRowHeight="14.6" x14ac:dyDescent="0.4"/>
  <cols>
    <col min="1" max="1" width="21.15234375" bestFit="1" customWidth="1"/>
    <col min="2" max="2" width="12" bestFit="1" customWidth="1"/>
    <col min="3" max="3" width="13.53515625" bestFit="1" customWidth="1"/>
    <col min="5" max="5" width="21.15234375" bestFit="1" customWidth="1"/>
    <col min="6" max="6" width="12" bestFit="1" customWidth="1"/>
    <col min="7" max="7" width="13.53515625" bestFit="1" customWidth="1"/>
  </cols>
  <sheetData>
    <row r="1" spans="1:12" s="8" customFormat="1" x14ac:dyDescent="0.4">
      <c r="A1" s="10" t="s">
        <v>212</v>
      </c>
      <c r="E1" s="10" t="s">
        <v>211</v>
      </c>
    </row>
    <row r="2" spans="1:12" s="8" customFormat="1" x14ac:dyDescent="0.4">
      <c r="A2" s="20"/>
      <c r="B2" s="36"/>
      <c r="E2" s="20"/>
      <c r="F2" s="36"/>
    </row>
    <row r="3" spans="1:12" ht="14.7" customHeight="1" x14ac:dyDescent="0.4">
      <c r="A3" s="8"/>
      <c r="C3" s="12">
        <v>3.41</v>
      </c>
      <c r="E3" s="8"/>
      <c r="G3" s="12">
        <v>3.97</v>
      </c>
      <c r="L3" s="97"/>
    </row>
    <row r="4" spans="1:12" x14ac:dyDescent="0.4">
      <c r="A4" s="13" t="s">
        <v>86</v>
      </c>
      <c r="B4" s="14" t="s">
        <v>99</v>
      </c>
      <c r="C4" s="14" t="s">
        <v>88</v>
      </c>
      <c r="E4" s="13" t="s">
        <v>86</v>
      </c>
      <c r="F4" s="14" t="s">
        <v>99</v>
      </c>
      <c r="G4" s="14" t="s">
        <v>88</v>
      </c>
    </row>
    <row r="5" spans="1:12" x14ac:dyDescent="0.4">
      <c r="A5" t="s">
        <v>198</v>
      </c>
      <c r="B5" s="15">
        <v>1075461.7320675128</v>
      </c>
      <c r="C5" s="16">
        <v>3663826</v>
      </c>
      <c r="E5" t="s">
        <v>198</v>
      </c>
      <c r="F5" s="15">
        <v>1059147</v>
      </c>
      <c r="G5" s="16">
        <f>F5*$G$3</f>
        <v>4204813.59</v>
      </c>
    </row>
    <row r="6" spans="1:12" x14ac:dyDescent="0.4">
      <c r="A6" t="s">
        <v>200</v>
      </c>
      <c r="B6" s="15">
        <v>121421.42689276834</v>
      </c>
      <c r="C6" s="16">
        <v>413652</v>
      </c>
      <c r="E6" t="s">
        <v>200</v>
      </c>
      <c r="F6" s="15">
        <v>121421</v>
      </c>
      <c r="G6" s="16">
        <f t="shared" ref="G6:G13" si="0">F6*$G$3</f>
        <v>482041.37</v>
      </c>
    </row>
    <row r="7" spans="1:12" x14ac:dyDescent="0.4">
      <c r="A7" t="s">
        <v>201</v>
      </c>
      <c r="B7" s="15">
        <v>57814.730923479161</v>
      </c>
      <c r="C7" s="16">
        <v>196960</v>
      </c>
      <c r="E7" t="s">
        <v>201</v>
      </c>
      <c r="F7" s="15">
        <v>58263</v>
      </c>
      <c r="G7" s="16">
        <f t="shared" si="0"/>
        <v>231304.11000000002</v>
      </c>
    </row>
    <row r="8" spans="1:12" x14ac:dyDescent="0.4">
      <c r="A8" t="s">
        <v>202</v>
      </c>
      <c r="B8" s="15">
        <v>537962.332719445</v>
      </c>
      <c r="C8" s="16">
        <v>1832701</v>
      </c>
      <c r="E8" t="s">
        <v>202</v>
      </c>
      <c r="F8" s="15">
        <v>552478</v>
      </c>
      <c r="G8" s="16">
        <f t="shared" si="0"/>
        <v>2193337.66</v>
      </c>
    </row>
    <row r="9" spans="1:12" x14ac:dyDescent="0.4">
      <c r="A9" t="s">
        <v>203</v>
      </c>
      <c r="B9" s="15">
        <v>120155.48460329951</v>
      </c>
      <c r="C9" s="16">
        <v>409339</v>
      </c>
      <c r="E9" t="s">
        <v>203</v>
      </c>
      <c r="F9" s="15">
        <v>120155</v>
      </c>
      <c r="G9" s="16">
        <f t="shared" si="0"/>
        <v>477015.35000000003</v>
      </c>
    </row>
    <row r="10" spans="1:12" x14ac:dyDescent="0.4">
      <c r="A10" t="s">
        <v>205</v>
      </c>
      <c r="B10" s="15">
        <v>280022.39987629937</v>
      </c>
      <c r="C10" s="16">
        <v>953965</v>
      </c>
      <c r="E10" t="s">
        <v>205</v>
      </c>
      <c r="F10" s="15">
        <v>265674</v>
      </c>
      <c r="G10" s="16">
        <f t="shared" si="0"/>
        <v>1054725.78</v>
      </c>
    </row>
    <row r="11" spans="1:12" x14ac:dyDescent="0.4">
      <c r="A11" t="s">
        <v>204</v>
      </c>
      <c r="B11" s="15">
        <v>106166.70000000001</v>
      </c>
      <c r="C11" s="16">
        <v>361683</v>
      </c>
      <c r="E11" t="s">
        <v>204</v>
      </c>
      <c r="F11" s="15">
        <v>105746</v>
      </c>
      <c r="G11" s="16">
        <f t="shared" si="0"/>
        <v>419811.62</v>
      </c>
    </row>
    <row r="12" spans="1:12" x14ac:dyDescent="0.4">
      <c r="A12" t="s">
        <v>199</v>
      </c>
      <c r="B12" s="15">
        <v>59008.361666666671</v>
      </c>
      <c r="C12" s="16">
        <v>201027</v>
      </c>
      <c r="E12" t="s">
        <v>199</v>
      </c>
      <c r="F12" s="15">
        <v>99140</v>
      </c>
      <c r="G12" s="16">
        <f t="shared" si="0"/>
        <v>393585.80000000005</v>
      </c>
    </row>
    <row r="13" spans="1:12" x14ac:dyDescent="0.4">
      <c r="A13" t="s">
        <v>206</v>
      </c>
      <c r="B13" s="15">
        <v>390796.88477064227</v>
      </c>
      <c r="C13" s="16">
        <v>1331346</v>
      </c>
      <c r="E13" t="s">
        <v>206</v>
      </c>
      <c r="F13" s="15">
        <v>396133</v>
      </c>
      <c r="G13" s="16">
        <f t="shared" si="0"/>
        <v>1572648.01</v>
      </c>
    </row>
    <row r="14" spans="1:12" ht="15" thickBot="1" x14ac:dyDescent="0.45">
      <c r="A14" s="8"/>
      <c r="B14" s="17">
        <f>SUM(B5:B13)</f>
        <v>2748810.0535201132</v>
      </c>
      <c r="C14" s="18">
        <f>SUM(C5:C13)</f>
        <v>9364499</v>
      </c>
      <c r="E14" s="8"/>
      <c r="F14" s="17">
        <f>SUM(F5:F13)</f>
        <v>2778157</v>
      </c>
      <c r="G14" s="18">
        <f>SUM(G5:G13)</f>
        <v>11029283.289999999</v>
      </c>
    </row>
    <row r="17" spans="1:7" x14ac:dyDescent="0.4">
      <c r="A17" t="s">
        <v>88</v>
      </c>
      <c r="C17" s="37">
        <f>C14</f>
        <v>9364499</v>
      </c>
      <c r="E17" t="s">
        <v>88</v>
      </c>
      <c r="G17" s="37">
        <f>G14</f>
        <v>11029283.289999999</v>
      </c>
    </row>
    <row r="18" spans="1:7" x14ac:dyDescent="0.4">
      <c r="A18" t="s">
        <v>213</v>
      </c>
      <c r="C18" s="37">
        <f>'Project Status'!T41</f>
        <v>7680137.5</v>
      </c>
      <c r="E18" t="s">
        <v>213</v>
      </c>
      <c r="G18" s="37">
        <f>'Project Status'!S41</f>
        <v>6651237.5</v>
      </c>
    </row>
    <row r="19" spans="1:7" ht="15" thickBot="1" x14ac:dyDescent="0.45">
      <c r="A19" t="s">
        <v>125</v>
      </c>
      <c r="C19" s="77">
        <f>C17-C18</f>
        <v>1684361.5</v>
      </c>
      <c r="E19" t="s">
        <v>125</v>
      </c>
      <c r="G19" s="77">
        <f>G17-G18</f>
        <v>4378045.7899999991</v>
      </c>
    </row>
    <row r="24" spans="1:7" x14ac:dyDescent="0.4">
      <c r="A24" s="19"/>
      <c r="E24" s="19"/>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718-5D44-4EAF-A635-087998BD9278}">
  <sheetPr>
    <tabColor theme="7" tint="-0.499984740745262"/>
  </sheetPr>
  <dimension ref="A1:V57"/>
  <sheetViews>
    <sheetView zoomScale="90" zoomScaleNormal="90" workbookViewId="0">
      <pane ySplit="3" topLeftCell="A4" activePane="bottomLeft" state="frozen"/>
      <selection pane="bottomLeft"/>
    </sheetView>
  </sheetViews>
  <sheetFormatPr defaultColWidth="9.15234375" defaultRowHeight="14.6" outlineLevelCol="1" x14ac:dyDescent="0.4"/>
  <cols>
    <col min="1" max="1" width="9.69140625" style="87" customWidth="1"/>
    <col min="2" max="2" width="11.69140625" style="87" hidden="1" customWidth="1" outlineLevel="1"/>
    <col min="3" max="3" width="8.53515625" style="87" customWidth="1" collapsed="1"/>
    <col min="4" max="4" width="6.3046875" style="87" hidden="1" customWidth="1" outlineLevel="1"/>
    <col min="5" max="5" width="10.3046875" style="87" hidden="1" customWidth="1" outlineLevel="1"/>
    <col min="6" max="6" width="37.53515625" style="87" hidden="1" customWidth="1" outlineLevel="1"/>
    <col min="7" max="7" width="17.3828125" style="87" hidden="1" customWidth="1" outlineLevel="1"/>
    <col min="8" max="8" width="28" style="87" hidden="1" customWidth="1" outlineLevel="1"/>
    <col min="9" max="9" width="59.15234375" style="87" bestFit="1" customWidth="1" collapsed="1"/>
    <col min="10" max="10" width="21.3828125" style="87" bestFit="1" customWidth="1"/>
    <col min="11" max="11" width="13" style="87" bestFit="1" customWidth="1"/>
    <col min="12" max="12" width="15" style="113" customWidth="1"/>
    <col min="13" max="16" width="15" style="113" hidden="1" customWidth="1" outlineLevel="1"/>
    <col min="17" max="17" width="15" style="113" customWidth="1" collapsed="1"/>
    <col min="18" max="21" width="15" style="113" customWidth="1"/>
    <col min="22" max="22" width="116.53515625" style="87" customWidth="1"/>
    <col min="23" max="16384" width="9.15234375" style="87"/>
  </cols>
  <sheetData>
    <row r="1" spans="1:22" x14ac:dyDescent="0.4">
      <c r="A1" s="85" t="s">
        <v>196</v>
      </c>
      <c r="Q1" s="170" t="s">
        <v>286</v>
      </c>
      <c r="T1" s="210" t="s">
        <v>334</v>
      </c>
    </row>
    <row r="2" spans="1:22" x14ac:dyDescent="0.4">
      <c r="A2" s="88"/>
      <c r="E2" s="89"/>
      <c r="F2" s="90"/>
      <c r="G2" s="90"/>
    </row>
    <row r="3" spans="1:22" s="86" customFormat="1" ht="29.15" x14ac:dyDescent="0.4">
      <c r="A3" s="9"/>
      <c r="B3" s="9" t="s">
        <v>233</v>
      </c>
      <c r="C3" s="9" t="s">
        <v>127</v>
      </c>
      <c r="D3" s="9" t="s">
        <v>128</v>
      </c>
      <c r="E3" s="9" t="s">
        <v>129</v>
      </c>
      <c r="F3" s="91" t="s">
        <v>86</v>
      </c>
      <c r="G3" s="91" t="s">
        <v>207</v>
      </c>
      <c r="H3" s="91" t="s">
        <v>114</v>
      </c>
      <c r="I3" s="91" t="s">
        <v>87</v>
      </c>
      <c r="J3" s="9" t="s">
        <v>130</v>
      </c>
      <c r="K3" s="9" t="s">
        <v>131</v>
      </c>
      <c r="L3" s="114" t="s">
        <v>135</v>
      </c>
      <c r="M3" s="115" t="s">
        <v>132</v>
      </c>
      <c r="N3" s="115" t="s">
        <v>133</v>
      </c>
      <c r="O3" s="115" t="s">
        <v>134</v>
      </c>
      <c r="P3" s="115" t="s">
        <v>227</v>
      </c>
      <c r="Q3" s="116" t="s">
        <v>248</v>
      </c>
      <c r="R3" s="124" t="s">
        <v>324</v>
      </c>
      <c r="S3" s="124" t="s">
        <v>250</v>
      </c>
      <c r="T3" s="202" t="s">
        <v>323</v>
      </c>
      <c r="U3" s="171" t="s">
        <v>287</v>
      </c>
      <c r="V3" s="9" t="s">
        <v>186</v>
      </c>
    </row>
    <row r="4" spans="1:22" s="101" customFormat="1" x14ac:dyDescent="0.4">
      <c r="A4" s="104">
        <v>1</v>
      </c>
      <c r="B4" s="102" t="s">
        <v>90</v>
      </c>
      <c r="C4" s="211">
        <v>10085</v>
      </c>
      <c r="D4" s="102">
        <v>4591</v>
      </c>
      <c r="E4" s="102"/>
      <c r="F4" s="102" t="s">
        <v>28</v>
      </c>
      <c r="G4" s="103" t="str">
        <f>VLOOKUP(F4,lookup!B:C,2,FALSE)</f>
        <v>Peabody</v>
      </c>
      <c r="H4" s="102" t="s">
        <v>116</v>
      </c>
      <c r="I4" s="102" t="s">
        <v>108</v>
      </c>
      <c r="J4" s="102" t="s">
        <v>340</v>
      </c>
      <c r="K4" s="102" t="s">
        <v>158</v>
      </c>
      <c r="L4" s="117">
        <v>17500</v>
      </c>
      <c r="M4" s="118">
        <v>22000</v>
      </c>
      <c r="N4" s="118">
        <v>17500</v>
      </c>
      <c r="O4" s="118">
        <v>17500</v>
      </c>
      <c r="P4" s="118">
        <v>17500</v>
      </c>
      <c r="Q4" s="119">
        <f>'10085'!H18+'10085'!I18</f>
        <v>17500</v>
      </c>
      <c r="R4" s="125">
        <v>0</v>
      </c>
      <c r="S4" s="125">
        <v>0</v>
      </c>
      <c r="T4" s="203">
        <f>SUM(R4:S4)</f>
        <v>0</v>
      </c>
      <c r="U4" s="172">
        <v>0</v>
      </c>
      <c r="V4" t="s">
        <v>279</v>
      </c>
    </row>
    <row r="5" spans="1:22" s="101" customFormat="1" x14ac:dyDescent="0.4">
      <c r="A5" s="104">
        <v>2</v>
      </c>
      <c r="B5" s="102" t="s">
        <v>89</v>
      </c>
      <c r="C5" s="211">
        <v>10098</v>
      </c>
      <c r="D5" s="102">
        <v>1627</v>
      </c>
      <c r="E5" s="102" t="s">
        <v>110</v>
      </c>
      <c r="F5" s="102" t="s">
        <v>21</v>
      </c>
      <c r="G5" s="103" t="str">
        <f>VLOOKUP(F5,lookup!B:C,2,FALSE)</f>
        <v>SOM Basic Sciences</v>
      </c>
      <c r="H5" s="102" t="s">
        <v>149</v>
      </c>
      <c r="I5" s="102" t="s">
        <v>311</v>
      </c>
      <c r="J5" s="102" t="s">
        <v>278</v>
      </c>
      <c r="K5" s="102" t="s">
        <v>153</v>
      </c>
      <c r="L5" s="117">
        <v>1216485.5</v>
      </c>
      <c r="M5" s="118">
        <v>1216485.5</v>
      </c>
      <c r="N5" s="118">
        <v>1212059.54</v>
      </c>
      <c r="O5" s="118">
        <v>1212059.54</v>
      </c>
      <c r="P5" s="118">
        <v>1212059.54</v>
      </c>
      <c r="Q5" s="119">
        <f>'10098'!H18</f>
        <v>1216485.5</v>
      </c>
      <c r="R5" s="125">
        <v>0</v>
      </c>
      <c r="S5" s="125">
        <v>0</v>
      </c>
      <c r="T5" s="203">
        <f t="shared" ref="T5:T35" si="0">SUM(R5:S5)</f>
        <v>0</v>
      </c>
      <c r="U5" s="172">
        <v>0</v>
      </c>
      <c r="V5" t="s">
        <v>358</v>
      </c>
    </row>
    <row r="6" spans="1:22" s="101" customFormat="1" x14ac:dyDescent="0.4">
      <c r="A6" s="104">
        <v>3</v>
      </c>
      <c r="B6" s="102" t="s">
        <v>89</v>
      </c>
      <c r="C6" s="211">
        <v>10146</v>
      </c>
      <c r="D6" s="102">
        <v>4418</v>
      </c>
      <c r="E6" s="102" t="s">
        <v>179</v>
      </c>
      <c r="F6" s="102" t="s">
        <v>180</v>
      </c>
      <c r="G6" s="103" t="str">
        <f>VLOOKUP(F6,lookup!B:C,2,FALSE)</f>
        <v>Nursing</v>
      </c>
      <c r="H6" s="102" t="s">
        <v>174</v>
      </c>
      <c r="I6" s="102" t="s">
        <v>289</v>
      </c>
      <c r="J6" s="102" t="s">
        <v>100</v>
      </c>
      <c r="K6" s="102" t="s">
        <v>158</v>
      </c>
      <c r="L6" s="117"/>
      <c r="M6" s="118">
        <v>62100</v>
      </c>
      <c r="N6" s="118">
        <v>62100</v>
      </c>
      <c r="O6" s="118">
        <v>62100</v>
      </c>
      <c r="P6" s="118">
        <v>62100</v>
      </c>
      <c r="Q6" s="119">
        <f>'10146'!H18</f>
        <v>4900</v>
      </c>
      <c r="R6" s="125">
        <v>0</v>
      </c>
      <c r="S6" s="125" t="s">
        <v>220</v>
      </c>
      <c r="T6" s="203">
        <f t="shared" si="0"/>
        <v>0</v>
      </c>
      <c r="U6" s="172" t="s">
        <v>220</v>
      </c>
      <c r="V6" t="s">
        <v>359</v>
      </c>
    </row>
    <row r="7" spans="1:22" s="101" customFormat="1" x14ac:dyDescent="0.4">
      <c r="A7" s="104">
        <v>4</v>
      </c>
      <c r="B7" s="102" t="s">
        <v>89</v>
      </c>
      <c r="C7" s="211">
        <v>20179</v>
      </c>
      <c r="D7" s="102">
        <v>36015</v>
      </c>
      <c r="E7" s="102" t="s">
        <v>104</v>
      </c>
      <c r="F7" s="102" t="s">
        <v>156</v>
      </c>
      <c r="G7" s="103" t="str">
        <f>VLOOKUP(F7,lookup!B:C,2,FALSE)</f>
        <v>Law</v>
      </c>
      <c r="H7" s="102" t="s">
        <v>115</v>
      </c>
      <c r="I7" s="102" t="s">
        <v>290</v>
      </c>
      <c r="J7" s="102" t="s">
        <v>312</v>
      </c>
      <c r="K7" s="102" t="s">
        <v>157</v>
      </c>
      <c r="L7" s="117">
        <v>1445389</v>
      </c>
      <c r="M7" s="118">
        <v>1445389</v>
      </c>
      <c r="N7" s="118">
        <v>1352423.14</v>
      </c>
      <c r="O7" s="118">
        <v>1352423.14</v>
      </c>
      <c r="P7" s="118">
        <v>1352423.14</v>
      </c>
      <c r="Q7" s="119">
        <f>'20179'!H18</f>
        <v>722694.5</v>
      </c>
      <c r="R7" s="125">
        <v>0</v>
      </c>
      <c r="S7" s="125">
        <v>0</v>
      </c>
      <c r="T7" s="203">
        <f t="shared" si="0"/>
        <v>0</v>
      </c>
      <c r="U7" s="172">
        <v>0</v>
      </c>
      <c r="V7" t="s">
        <v>360</v>
      </c>
    </row>
    <row r="8" spans="1:22" s="101" customFormat="1" x14ac:dyDescent="0.4">
      <c r="A8" s="104">
        <v>5</v>
      </c>
      <c r="B8" s="102" t="s">
        <v>89</v>
      </c>
      <c r="C8" s="211">
        <v>20336</v>
      </c>
      <c r="D8" s="102">
        <v>20075</v>
      </c>
      <c r="E8" s="102" t="s">
        <v>102</v>
      </c>
      <c r="F8" s="102" t="s">
        <v>12</v>
      </c>
      <c r="G8" s="103" t="str">
        <f>VLOOKUP(F8,lookup!B:C,2,FALSE)</f>
        <v>Blair</v>
      </c>
      <c r="H8" s="102" t="s">
        <v>152</v>
      </c>
      <c r="I8" s="102" t="s">
        <v>191</v>
      </c>
      <c r="J8" s="102" t="s">
        <v>312</v>
      </c>
      <c r="K8" s="102" t="s">
        <v>151</v>
      </c>
      <c r="L8" s="117">
        <v>327890</v>
      </c>
      <c r="M8" s="118">
        <v>327890</v>
      </c>
      <c r="N8" s="118">
        <v>280600</v>
      </c>
      <c r="O8" s="118">
        <v>280600</v>
      </c>
      <c r="P8" s="118">
        <v>274975</v>
      </c>
      <c r="Q8" s="119">
        <f>'20336'!H18</f>
        <v>327890</v>
      </c>
      <c r="R8" s="125">
        <v>0</v>
      </c>
      <c r="S8" s="125">
        <v>0</v>
      </c>
      <c r="T8" s="203">
        <f t="shared" si="0"/>
        <v>0</v>
      </c>
      <c r="U8" s="172">
        <v>0</v>
      </c>
      <c r="V8" t="s">
        <v>361</v>
      </c>
    </row>
    <row r="9" spans="1:22" s="101" customFormat="1" x14ac:dyDescent="0.4">
      <c r="A9" s="104">
        <v>6</v>
      </c>
      <c r="B9" s="102" t="s">
        <v>89</v>
      </c>
      <c r="C9" s="211">
        <v>20431</v>
      </c>
      <c r="D9" s="102">
        <v>8084</v>
      </c>
      <c r="E9" s="102" t="s">
        <v>103</v>
      </c>
      <c r="F9" s="102" t="s">
        <v>14</v>
      </c>
      <c r="G9" s="103" t="str">
        <f>VLOOKUP(F9,lookup!B:C,2,FALSE)</f>
        <v>Divinity</v>
      </c>
      <c r="H9" s="102" t="s">
        <v>154</v>
      </c>
      <c r="I9" s="102" t="s">
        <v>291</v>
      </c>
      <c r="J9" s="102" t="s">
        <v>101</v>
      </c>
      <c r="K9" s="102" t="s">
        <v>153</v>
      </c>
      <c r="L9" s="117">
        <v>3800000</v>
      </c>
      <c r="M9" s="118">
        <v>139640</v>
      </c>
      <c r="N9" s="118">
        <v>126225</v>
      </c>
      <c r="O9" s="118">
        <v>126225</v>
      </c>
      <c r="P9" s="118">
        <v>100186.22</v>
      </c>
      <c r="Q9" s="119">
        <f>'20431'!H18</f>
        <v>69862.5</v>
      </c>
      <c r="R9" s="125">
        <v>0</v>
      </c>
      <c r="S9" s="125">
        <f>L9-Q9</f>
        <v>3730137.5</v>
      </c>
      <c r="T9" s="203">
        <f t="shared" si="0"/>
        <v>3730137.5</v>
      </c>
      <c r="U9" s="172">
        <v>0</v>
      </c>
      <c r="V9" t="s">
        <v>362</v>
      </c>
    </row>
    <row r="10" spans="1:22" s="101" customFormat="1" x14ac:dyDescent="0.4">
      <c r="A10" s="104">
        <v>7</v>
      </c>
      <c r="B10" s="102" t="s">
        <v>89</v>
      </c>
      <c r="C10" s="211">
        <v>20478</v>
      </c>
      <c r="D10" s="102">
        <v>8672</v>
      </c>
      <c r="E10" s="102" t="s">
        <v>239</v>
      </c>
      <c r="F10" s="102" t="s">
        <v>10</v>
      </c>
      <c r="G10" s="103" t="str">
        <f>VLOOKUP(F10,lookup!B:C,2,FALSE)</f>
        <v>Arts &amp; Science</v>
      </c>
      <c r="H10" s="102" t="s">
        <v>249</v>
      </c>
      <c r="I10" s="102" t="s">
        <v>240</v>
      </c>
      <c r="J10" s="102" t="s">
        <v>101</v>
      </c>
      <c r="K10" s="102" t="s">
        <v>241</v>
      </c>
      <c r="L10" s="117">
        <v>2900000</v>
      </c>
      <c r="M10" s="118">
        <v>2790000</v>
      </c>
      <c r="N10" s="118">
        <v>1869346.53</v>
      </c>
      <c r="O10" s="118">
        <v>1870106.53</v>
      </c>
      <c r="P10" s="118">
        <v>416873.11</v>
      </c>
      <c r="Q10" s="119">
        <f>'20478'!H9+'20478'!H11</f>
        <v>81100</v>
      </c>
      <c r="R10" s="125">
        <f>'20478'!H13</f>
        <v>1028900</v>
      </c>
      <c r="S10" s="125">
        <v>0</v>
      </c>
      <c r="T10" s="203">
        <f t="shared" si="0"/>
        <v>1028900</v>
      </c>
      <c r="U10" s="172">
        <v>0</v>
      </c>
      <c r="V10" t="s">
        <v>363</v>
      </c>
    </row>
    <row r="11" spans="1:22" s="101" customFormat="1" x14ac:dyDescent="0.4">
      <c r="A11" s="104">
        <v>8</v>
      </c>
      <c r="B11" s="102" t="s">
        <v>89</v>
      </c>
      <c r="C11" s="211">
        <v>20489</v>
      </c>
      <c r="D11" s="102">
        <v>8051</v>
      </c>
      <c r="E11" s="102" t="s">
        <v>242</v>
      </c>
      <c r="F11" s="102" t="s">
        <v>14</v>
      </c>
      <c r="G11" s="103" t="str">
        <f>VLOOKUP(F11,lookup!B:C,2,FALSE)</f>
        <v>Divinity</v>
      </c>
      <c r="H11" s="102" t="s">
        <v>154</v>
      </c>
      <c r="I11" s="102" t="s">
        <v>292</v>
      </c>
      <c r="J11" s="102" t="s">
        <v>100</v>
      </c>
      <c r="K11" s="102" t="s">
        <v>153</v>
      </c>
      <c r="L11" s="117">
        <v>4650000</v>
      </c>
      <c r="M11" s="118">
        <v>26500</v>
      </c>
      <c r="N11" s="118">
        <v>15895</v>
      </c>
      <c r="O11" s="118">
        <v>15895</v>
      </c>
      <c r="P11" s="118">
        <v>12712.5</v>
      </c>
      <c r="Q11" s="119">
        <f>'20489'!H18</f>
        <v>26500</v>
      </c>
      <c r="R11" s="125">
        <v>0</v>
      </c>
      <c r="S11" s="125">
        <v>0</v>
      </c>
      <c r="T11" s="203">
        <f t="shared" si="0"/>
        <v>0</v>
      </c>
      <c r="U11" s="172" t="s">
        <v>220</v>
      </c>
      <c r="V11" t="s">
        <v>364</v>
      </c>
    </row>
    <row r="12" spans="1:22" s="101" customFormat="1" x14ac:dyDescent="0.4">
      <c r="A12" s="104">
        <v>9</v>
      </c>
      <c r="B12" s="102" t="s">
        <v>89</v>
      </c>
      <c r="C12" s="211">
        <v>20497</v>
      </c>
      <c r="D12" s="102">
        <v>529</v>
      </c>
      <c r="E12" s="102" t="s">
        <v>106</v>
      </c>
      <c r="F12" s="102" t="s">
        <v>28</v>
      </c>
      <c r="G12" s="103" t="str">
        <f>VLOOKUP(F12,lookup!B:C,2,FALSE)</f>
        <v>Peabody</v>
      </c>
      <c r="H12" s="102" t="s">
        <v>155</v>
      </c>
      <c r="I12" s="102" t="s">
        <v>105</v>
      </c>
      <c r="J12" s="102" t="s">
        <v>312</v>
      </c>
      <c r="K12" s="102" t="s">
        <v>151</v>
      </c>
      <c r="L12" s="117">
        <v>456850</v>
      </c>
      <c r="M12" s="118">
        <v>456850</v>
      </c>
      <c r="N12" s="118">
        <v>412000</v>
      </c>
      <c r="O12" s="118">
        <v>412000</v>
      </c>
      <c r="P12" s="118">
        <v>412000</v>
      </c>
      <c r="Q12" s="119">
        <f>'20497'!H18</f>
        <v>79415.5</v>
      </c>
      <c r="R12" s="125">
        <v>0</v>
      </c>
      <c r="S12" s="125">
        <v>0</v>
      </c>
      <c r="T12" s="203">
        <f t="shared" si="0"/>
        <v>0</v>
      </c>
      <c r="U12" s="172">
        <v>0</v>
      </c>
      <c r="V12" t="s">
        <v>365</v>
      </c>
    </row>
    <row r="13" spans="1:22" s="101" customFormat="1" x14ac:dyDescent="0.4">
      <c r="A13" s="104">
        <v>10</v>
      </c>
      <c r="B13" s="102" t="s">
        <v>89</v>
      </c>
      <c r="C13" s="211">
        <v>20506</v>
      </c>
      <c r="D13" s="102">
        <v>1170</v>
      </c>
      <c r="E13" s="102" t="s">
        <v>267</v>
      </c>
      <c r="F13" s="102" t="s">
        <v>28</v>
      </c>
      <c r="G13" s="103" t="str">
        <f>VLOOKUP(F13,lookup!B:C,2,FALSE)</f>
        <v>Peabody</v>
      </c>
      <c r="H13" s="102" t="s">
        <v>162</v>
      </c>
      <c r="I13" s="102" t="s">
        <v>246</v>
      </c>
      <c r="J13" s="102" t="s">
        <v>312</v>
      </c>
      <c r="K13" s="102" t="s">
        <v>151</v>
      </c>
      <c r="L13" s="117">
        <v>344155.26</v>
      </c>
      <c r="M13" s="118">
        <v>344155.26</v>
      </c>
      <c r="N13" s="118">
        <v>307776.26</v>
      </c>
      <c r="O13" s="118">
        <v>307776.26</v>
      </c>
      <c r="P13" s="118">
        <v>307776.26</v>
      </c>
      <c r="Q13" s="119">
        <f>'20506'!H18</f>
        <v>344155.26</v>
      </c>
      <c r="R13" s="125">
        <v>0</v>
      </c>
      <c r="S13" s="125">
        <v>0</v>
      </c>
      <c r="T13" s="203">
        <f t="shared" si="0"/>
        <v>0</v>
      </c>
      <c r="U13" s="172">
        <v>0</v>
      </c>
      <c r="V13" t="s">
        <v>365</v>
      </c>
    </row>
    <row r="14" spans="1:22" s="101" customFormat="1" x14ac:dyDescent="0.4">
      <c r="A14" s="104">
        <v>11</v>
      </c>
      <c r="B14" s="102" t="s">
        <v>89</v>
      </c>
      <c r="C14" s="211">
        <v>20562</v>
      </c>
      <c r="D14" s="102">
        <v>4564</v>
      </c>
      <c r="E14" s="102" t="s">
        <v>232</v>
      </c>
      <c r="F14" s="102" t="s">
        <v>28</v>
      </c>
      <c r="G14" s="103" t="str">
        <f>VLOOKUP(F14,lookup!B:C,2,FALSE)</f>
        <v>Peabody</v>
      </c>
      <c r="H14" s="102" t="s">
        <v>162</v>
      </c>
      <c r="I14" s="102" t="s">
        <v>107</v>
      </c>
      <c r="J14" s="102" t="s">
        <v>101</v>
      </c>
      <c r="K14" s="102" t="s">
        <v>158</v>
      </c>
      <c r="L14" s="117">
        <v>400000</v>
      </c>
      <c r="M14" s="118">
        <v>405791</v>
      </c>
      <c r="N14" s="118">
        <v>362559.64</v>
      </c>
      <c r="O14" s="118">
        <v>362559.64</v>
      </c>
      <c r="P14" s="118">
        <v>362559.64</v>
      </c>
      <c r="Q14" s="119">
        <f>'20562'!H18</f>
        <v>405791</v>
      </c>
      <c r="R14" s="125">
        <v>0</v>
      </c>
      <c r="S14" s="125">
        <v>0</v>
      </c>
      <c r="T14" s="203">
        <f t="shared" si="0"/>
        <v>0</v>
      </c>
      <c r="U14" s="172">
        <v>0</v>
      </c>
      <c r="V14" t="s">
        <v>366</v>
      </c>
    </row>
    <row r="15" spans="1:22" s="101" customFormat="1" x14ac:dyDescent="0.4">
      <c r="A15" s="104">
        <v>12</v>
      </c>
      <c r="B15" s="102" t="s">
        <v>220</v>
      </c>
      <c r="C15" s="102">
        <v>20563</v>
      </c>
      <c r="D15" s="102">
        <v>4624</v>
      </c>
      <c r="E15" s="102"/>
      <c r="F15" s="102" t="s">
        <v>15</v>
      </c>
      <c r="G15" s="103" t="str">
        <f>VLOOKUP(F15,lookup!B:C,2,FALSE)</f>
        <v>Engineering</v>
      </c>
      <c r="H15" s="102" t="s">
        <v>163</v>
      </c>
      <c r="I15" s="102" t="s">
        <v>283</v>
      </c>
      <c r="J15" s="102" t="s">
        <v>274</v>
      </c>
      <c r="K15" s="102" t="s">
        <v>151</v>
      </c>
      <c r="L15" s="117">
        <v>386000</v>
      </c>
      <c r="M15" s="118">
        <v>0</v>
      </c>
      <c r="N15" s="118">
        <v>0</v>
      </c>
      <c r="O15" s="118">
        <v>0</v>
      </c>
      <c r="P15" s="118">
        <v>0</v>
      </c>
      <c r="Q15" s="119">
        <v>0</v>
      </c>
      <c r="R15" s="125">
        <v>0</v>
      </c>
      <c r="S15" s="125">
        <v>0</v>
      </c>
      <c r="T15" s="203">
        <f t="shared" si="0"/>
        <v>0</v>
      </c>
      <c r="U15" s="172" t="s">
        <v>220</v>
      </c>
      <c r="V15" t="s">
        <v>284</v>
      </c>
    </row>
    <row r="16" spans="1:22" s="101" customFormat="1" x14ac:dyDescent="0.4">
      <c r="A16" s="104">
        <v>13</v>
      </c>
      <c r="B16" s="102" t="s">
        <v>89</v>
      </c>
      <c r="C16" s="211">
        <v>20566</v>
      </c>
      <c r="D16" s="102">
        <v>20054</v>
      </c>
      <c r="E16" s="102" t="s">
        <v>160</v>
      </c>
      <c r="F16" s="102" t="s">
        <v>10</v>
      </c>
      <c r="G16" s="103" t="str">
        <f>VLOOKUP(F16,lookup!B:C,2,FALSE)</f>
        <v>Arts &amp; Science</v>
      </c>
      <c r="H16" s="102" t="s">
        <v>161</v>
      </c>
      <c r="I16" s="102" t="s">
        <v>187</v>
      </c>
      <c r="J16" s="102" t="s">
        <v>312</v>
      </c>
      <c r="K16" s="102" t="s">
        <v>151</v>
      </c>
      <c r="L16" s="117">
        <v>781870</v>
      </c>
      <c r="M16" s="118">
        <v>781870</v>
      </c>
      <c r="N16" s="118">
        <v>722586.68</v>
      </c>
      <c r="O16" s="118">
        <v>722586.68</v>
      </c>
      <c r="P16" s="118">
        <v>670650.68000000005</v>
      </c>
      <c r="Q16" s="119">
        <f>'20566'!H18</f>
        <v>781870</v>
      </c>
      <c r="R16" s="125">
        <v>0</v>
      </c>
      <c r="S16" s="125">
        <v>0</v>
      </c>
      <c r="T16" s="203">
        <f t="shared" si="0"/>
        <v>0</v>
      </c>
      <c r="U16" s="172">
        <v>0</v>
      </c>
      <c r="V16" t="s">
        <v>367</v>
      </c>
    </row>
    <row r="17" spans="1:22" s="101" customFormat="1" x14ac:dyDescent="0.4">
      <c r="A17" s="104">
        <v>14</v>
      </c>
      <c r="B17" s="102" t="s">
        <v>89</v>
      </c>
      <c r="C17" s="211">
        <v>20573</v>
      </c>
      <c r="D17" s="102">
        <v>8047</v>
      </c>
      <c r="E17" s="102" t="s">
        <v>243</v>
      </c>
      <c r="F17" s="102" t="s">
        <v>28</v>
      </c>
      <c r="G17" s="103" t="str">
        <f>VLOOKUP(F17,lookup!B:C,2,FALSE)</f>
        <v>Peabody</v>
      </c>
      <c r="H17" s="102" t="s">
        <v>162</v>
      </c>
      <c r="I17" s="102" t="s">
        <v>188</v>
      </c>
      <c r="J17" s="102" t="s">
        <v>101</v>
      </c>
      <c r="K17" s="102" t="s">
        <v>151</v>
      </c>
      <c r="L17" s="117">
        <v>1232681</v>
      </c>
      <c r="M17" s="118">
        <v>1232681</v>
      </c>
      <c r="N17" s="118">
        <v>1113460</v>
      </c>
      <c r="O17" s="118">
        <v>1113460</v>
      </c>
      <c r="P17" s="118">
        <v>823000</v>
      </c>
      <c r="Q17" s="119">
        <f>'20573'!H18</f>
        <v>1232681</v>
      </c>
      <c r="R17" s="125">
        <v>0</v>
      </c>
      <c r="S17" s="125">
        <v>0</v>
      </c>
      <c r="T17" s="203">
        <f t="shared" si="0"/>
        <v>0</v>
      </c>
      <c r="U17" s="172">
        <v>0</v>
      </c>
      <c r="V17" t="s">
        <v>368</v>
      </c>
    </row>
    <row r="18" spans="1:22" s="101" customFormat="1" x14ac:dyDescent="0.4">
      <c r="A18" s="104">
        <v>15</v>
      </c>
      <c r="B18" s="102" t="s">
        <v>89</v>
      </c>
      <c r="C18" s="211">
        <v>20574</v>
      </c>
      <c r="D18" s="102">
        <v>8145</v>
      </c>
      <c r="E18" s="102" t="s">
        <v>221</v>
      </c>
      <c r="F18" s="102" t="s">
        <v>21</v>
      </c>
      <c r="G18" s="103" t="str">
        <f>VLOOKUP(F18,lookup!B:C,2,FALSE)</f>
        <v>SOM Basic Sciences</v>
      </c>
      <c r="H18" s="102" t="s">
        <v>149</v>
      </c>
      <c r="I18" s="102" t="s">
        <v>189</v>
      </c>
      <c r="J18" s="102" t="s">
        <v>101</v>
      </c>
      <c r="K18" s="102" t="s">
        <v>158</v>
      </c>
      <c r="L18" s="117">
        <v>218202</v>
      </c>
      <c r="M18" s="118">
        <v>218202</v>
      </c>
      <c r="N18" s="118">
        <v>195665</v>
      </c>
      <c r="O18" s="118">
        <v>195665</v>
      </c>
      <c r="P18" s="118">
        <v>166360</v>
      </c>
      <c r="Q18" s="119">
        <f>'20574'!H18</f>
        <v>218202</v>
      </c>
      <c r="R18" s="125">
        <v>0</v>
      </c>
      <c r="S18" s="125">
        <v>0</v>
      </c>
      <c r="T18" s="203">
        <f t="shared" si="0"/>
        <v>0</v>
      </c>
      <c r="U18" s="172">
        <v>0</v>
      </c>
      <c r="V18" t="s">
        <v>369</v>
      </c>
    </row>
    <row r="19" spans="1:22" s="101" customFormat="1" x14ac:dyDescent="0.4">
      <c r="A19" s="104">
        <v>16</v>
      </c>
      <c r="B19" s="102" t="s">
        <v>89</v>
      </c>
      <c r="C19" s="211">
        <v>20577</v>
      </c>
      <c r="D19" s="102">
        <v>8146</v>
      </c>
      <c r="E19" s="102" t="s">
        <v>167</v>
      </c>
      <c r="F19" s="102" t="s">
        <v>12</v>
      </c>
      <c r="G19" s="103" t="str">
        <f>VLOOKUP(F19,lookup!B:C,2,FALSE)</f>
        <v>Blair</v>
      </c>
      <c r="H19" s="102" t="s">
        <v>152</v>
      </c>
      <c r="I19" s="102" t="s">
        <v>190</v>
      </c>
      <c r="J19" s="102" t="s">
        <v>100</v>
      </c>
      <c r="K19" s="102" t="s">
        <v>153</v>
      </c>
      <c r="L19" s="117">
        <v>4500000</v>
      </c>
      <c r="M19" s="118">
        <v>223000</v>
      </c>
      <c r="N19" s="118">
        <v>220566.21</v>
      </c>
      <c r="O19" s="118">
        <v>220566.21</v>
      </c>
      <c r="P19" s="118">
        <v>185191.21</v>
      </c>
      <c r="Q19" s="119">
        <f>'20577'!H18</f>
        <v>223000</v>
      </c>
      <c r="R19" s="125">
        <v>0</v>
      </c>
      <c r="S19" s="125">
        <v>0</v>
      </c>
      <c r="T19" s="203">
        <f t="shared" si="0"/>
        <v>0</v>
      </c>
      <c r="U19" s="172" t="s">
        <v>220</v>
      </c>
      <c r="V19" t="s">
        <v>342</v>
      </c>
    </row>
    <row r="20" spans="1:22" s="101" customFormat="1" x14ac:dyDescent="0.4">
      <c r="A20" s="104">
        <v>17</v>
      </c>
      <c r="B20" s="102" t="s">
        <v>89</v>
      </c>
      <c r="C20" s="211">
        <v>20644</v>
      </c>
      <c r="D20" s="102">
        <v>8241</v>
      </c>
      <c r="E20" s="102" t="s">
        <v>224</v>
      </c>
      <c r="F20" s="102" t="s">
        <v>28</v>
      </c>
      <c r="G20" s="103" t="str">
        <f>VLOOKUP(F20,lookup!B:C,2,FALSE)</f>
        <v>Peabody</v>
      </c>
      <c r="H20" s="102" t="s">
        <v>159</v>
      </c>
      <c r="I20" s="102" t="s">
        <v>297</v>
      </c>
      <c r="J20" s="102" t="s">
        <v>312</v>
      </c>
      <c r="K20" s="102" t="s">
        <v>151</v>
      </c>
      <c r="L20" s="117">
        <v>630554</v>
      </c>
      <c r="M20" s="118">
        <v>630554</v>
      </c>
      <c r="N20" s="118">
        <v>571789</v>
      </c>
      <c r="O20" s="118">
        <v>571789</v>
      </c>
      <c r="P20" s="118">
        <v>175193.4</v>
      </c>
      <c r="Q20" s="119">
        <f>'20644'!H18</f>
        <v>630554</v>
      </c>
      <c r="R20" s="125">
        <v>0</v>
      </c>
      <c r="S20" s="125">
        <v>0</v>
      </c>
      <c r="T20" s="203">
        <f t="shared" si="0"/>
        <v>0</v>
      </c>
      <c r="U20" s="172">
        <v>0</v>
      </c>
      <c r="V20" t="s">
        <v>370</v>
      </c>
    </row>
    <row r="21" spans="1:22" s="101" customFormat="1" x14ac:dyDescent="0.4">
      <c r="A21" s="104">
        <v>18</v>
      </c>
      <c r="B21" s="102" t="s">
        <v>90</v>
      </c>
      <c r="C21" s="211">
        <v>20645</v>
      </c>
      <c r="D21" s="102">
        <v>8239</v>
      </c>
      <c r="E21" s="102"/>
      <c r="F21" s="102" t="s">
        <v>10</v>
      </c>
      <c r="G21" s="103" t="str">
        <f>VLOOKUP(F21,lookup!B:C,2,FALSE)</f>
        <v>Arts &amp; Science</v>
      </c>
      <c r="H21" s="102" t="s">
        <v>150</v>
      </c>
      <c r="I21" s="102" t="s">
        <v>111</v>
      </c>
      <c r="J21" s="102" t="s">
        <v>101</v>
      </c>
      <c r="K21" s="102" t="s">
        <v>151</v>
      </c>
      <c r="L21" s="117">
        <v>125875</v>
      </c>
      <c r="M21" s="118">
        <v>125875</v>
      </c>
      <c r="N21" s="118">
        <v>112250</v>
      </c>
      <c r="O21" s="118">
        <v>112250</v>
      </c>
      <c r="P21" s="118">
        <v>85500</v>
      </c>
      <c r="Q21" s="119">
        <f>'20645'!H18</f>
        <v>125875</v>
      </c>
      <c r="R21" s="125">
        <v>0</v>
      </c>
      <c r="S21" s="125">
        <v>0</v>
      </c>
      <c r="T21" s="203">
        <f t="shared" si="0"/>
        <v>0</v>
      </c>
      <c r="U21" s="172">
        <v>0</v>
      </c>
      <c r="V21" t="s">
        <v>371</v>
      </c>
    </row>
    <row r="22" spans="1:22" s="101" customFormat="1" x14ac:dyDescent="0.4">
      <c r="A22" s="104">
        <v>19</v>
      </c>
      <c r="B22" s="102" t="s">
        <v>89</v>
      </c>
      <c r="C22" s="211">
        <v>20667</v>
      </c>
      <c r="D22" s="102">
        <v>8168</v>
      </c>
      <c r="E22" s="102" t="s">
        <v>176</v>
      </c>
      <c r="F22" s="102" t="s">
        <v>15</v>
      </c>
      <c r="G22" s="103" t="str">
        <f>VLOOKUP(F22,lookup!B:C,2,FALSE)</f>
        <v>Engineering</v>
      </c>
      <c r="H22" s="102" t="s">
        <v>165</v>
      </c>
      <c r="I22" s="102" t="s">
        <v>166</v>
      </c>
      <c r="J22" s="102" t="s">
        <v>100</v>
      </c>
      <c r="K22" s="102" t="s">
        <v>158</v>
      </c>
      <c r="L22" s="117"/>
      <c r="M22" s="118">
        <v>146500</v>
      </c>
      <c r="N22" s="118">
        <v>146500</v>
      </c>
      <c r="O22" s="118">
        <v>146500</v>
      </c>
      <c r="P22" s="118">
        <v>0</v>
      </c>
      <c r="Q22" s="119">
        <f>'20667'!H18</f>
        <v>146500</v>
      </c>
      <c r="R22" s="125">
        <v>0</v>
      </c>
      <c r="S22" s="125">
        <v>35000</v>
      </c>
      <c r="T22" s="203">
        <f t="shared" si="0"/>
        <v>35000</v>
      </c>
      <c r="U22" s="172">
        <v>0</v>
      </c>
      <c r="V22" t="s">
        <v>372</v>
      </c>
    </row>
    <row r="23" spans="1:22" s="101" customFormat="1" x14ac:dyDescent="0.4">
      <c r="A23" s="104">
        <v>20</v>
      </c>
      <c r="B23" s="102" t="s">
        <v>89</v>
      </c>
      <c r="C23" s="211">
        <v>20668</v>
      </c>
      <c r="D23" s="102">
        <v>8151</v>
      </c>
      <c r="E23" s="102" t="s">
        <v>192</v>
      </c>
      <c r="F23" s="102" t="s">
        <v>15</v>
      </c>
      <c r="G23" s="103" t="str">
        <f>VLOOKUP(F23,lookup!B:C,2,FALSE)</f>
        <v>Engineering</v>
      </c>
      <c r="H23" s="102" t="s">
        <v>163</v>
      </c>
      <c r="I23" s="102" t="s">
        <v>164</v>
      </c>
      <c r="J23" s="102" t="s">
        <v>100</v>
      </c>
      <c r="K23" s="102" t="s">
        <v>158</v>
      </c>
      <c r="L23" s="117"/>
      <c r="M23" s="118">
        <v>206500</v>
      </c>
      <c r="N23" s="118">
        <v>206500</v>
      </c>
      <c r="O23" s="118">
        <v>206500</v>
      </c>
      <c r="P23" s="118">
        <v>47010</v>
      </c>
      <c r="Q23" s="119">
        <f>'20668'!H18</f>
        <v>206500</v>
      </c>
      <c r="R23" s="125">
        <v>0</v>
      </c>
      <c r="S23" s="125">
        <v>35000</v>
      </c>
      <c r="T23" s="203">
        <f t="shared" si="0"/>
        <v>35000</v>
      </c>
      <c r="U23" s="172">
        <v>0</v>
      </c>
      <c r="V23" t="s">
        <v>373</v>
      </c>
    </row>
    <row r="24" spans="1:22" s="101" customFormat="1" x14ac:dyDescent="0.4">
      <c r="A24" s="104">
        <v>21</v>
      </c>
      <c r="B24" s="102" t="s">
        <v>89</v>
      </c>
      <c r="C24" s="211">
        <v>20698</v>
      </c>
      <c r="D24" s="102">
        <v>1138</v>
      </c>
      <c r="E24" s="102" t="s">
        <v>217</v>
      </c>
      <c r="F24" s="102" t="s">
        <v>10</v>
      </c>
      <c r="G24" s="103" t="str">
        <f>VLOOKUP(F24,lookup!B:C,2,FALSE)</f>
        <v>Arts &amp; Science</v>
      </c>
      <c r="H24" s="102" t="s">
        <v>209</v>
      </c>
      <c r="I24" s="102" t="s">
        <v>222</v>
      </c>
      <c r="J24" s="102" t="s">
        <v>100</v>
      </c>
      <c r="K24" s="102" t="s">
        <v>158</v>
      </c>
      <c r="L24" s="117"/>
      <c r="M24" s="118">
        <v>29250</v>
      </c>
      <c r="N24" s="118">
        <v>29250</v>
      </c>
      <c r="O24" s="118">
        <v>29250</v>
      </c>
      <c r="P24" s="118">
        <v>21207.5</v>
      </c>
      <c r="Q24" s="119">
        <f>'20698'!H18</f>
        <v>29250</v>
      </c>
      <c r="R24" s="125">
        <v>0</v>
      </c>
      <c r="S24" s="125" t="s">
        <v>220</v>
      </c>
      <c r="T24" s="203">
        <f t="shared" si="0"/>
        <v>0</v>
      </c>
      <c r="U24" s="172">
        <v>0</v>
      </c>
      <c r="V24" t="s">
        <v>374</v>
      </c>
    </row>
    <row r="25" spans="1:22" s="101" customFormat="1" x14ac:dyDescent="0.4">
      <c r="A25" s="104">
        <v>22</v>
      </c>
      <c r="B25" s="102" t="s">
        <v>90</v>
      </c>
      <c r="C25" s="211">
        <v>20700</v>
      </c>
      <c r="D25" s="102">
        <v>851</v>
      </c>
      <c r="E25" s="102"/>
      <c r="F25" s="102" t="s">
        <v>10</v>
      </c>
      <c r="G25" s="103" t="str">
        <f>VLOOKUP(F25,lookup!B:C,2,FALSE)</f>
        <v>Arts &amp; Science</v>
      </c>
      <c r="H25" s="102" t="s">
        <v>161</v>
      </c>
      <c r="I25" s="102" t="s">
        <v>350</v>
      </c>
      <c r="J25" s="102" t="s">
        <v>101</v>
      </c>
      <c r="K25" s="102" t="s">
        <v>158</v>
      </c>
      <c r="L25" s="117">
        <v>80000</v>
      </c>
      <c r="M25" s="118">
        <v>79623</v>
      </c>
      <c r="N25" s="118">
        <v>73823.77</v>
      </c>
      <c r="O25" s="118">
        <v>73823.77</v>
      </c>
      <c r="P25" s="118">
        <v>73823.77</v>
      </c>
      <c r="Q25" s="119">
        <f>'20700'!H18</f>
        <v>79623</v>
      </c>
      <c r="R25" s="125">
        <v>0</v>
      </c>
      <c r="S25" s="125">
        <v>0</v>
      </c>
      <c r="T25" s="203">
        <f t="shared" si="0"/>
        <v>0</v>
      </c>
      <c r="U25" s="172">
        <v>0</v>
      </c>
      <c r="V25" t="s">
        <v>375</v>
      </c>
    </row>
    <row r="26" spans="1:22" s="101" customFormat="1" x14ac:dyDescent="0.4">
      <c r="A26" s="104">
        <v>23</v>
      </c>
      <c r="B26" s="102" t="s">
        <v>89</v>
      </c>
      <c r="C26" s="211">
        <v>20701</v>
      </c>
      <c r="D26" s="102">
        <v>4399</v>
      </c>
      <c r="E26" s="102" t="s">
        <v>282</v>
      </c>
      <c r="F26" s="102" t="s">
        <v>10</v>
      </c>
      <c r="G26" s="103" t="str">
        <f>VLOOKUP(F26,lookup!B:C,2,FALSE)</f>
        <v>Arts &amp; Science</v>
      </c>
      <c r="H26" s="102" t="s">
        <v>210</v>
      </c>
      <c r="I26" s="102" t="s">
        <v>349</v>
      </c>
      <c r="J26" s="102" t="s">
        <v>100</v>
      </c>
      <c r="K26" s="102" t="s">
        <v>158</v>
      </c>
      <c r="L26" s="117">
        <v>500000</v>
      </c>
      <c r="M26" s="118">
        <v>499093</v>
      </c>
      <c r="N26" s="118">
        <v>0</v>
      </c>
      <c r="O26" s="118">
        <v>18000</v>
      </c>
      <c r="P26" s="118">
        <v>0</v>
      </c>
      <c r="Q26" s="119">
        <f>'20701'!H18</f>
        <v>499093</v>
      </c>
      <c r="R26" s="125">
        <v>0</v>
      </c>
      <c r="S26" s="125">
        <v>0</v>
      </c>
      <c r="T26" s="203">
        <f t="shared" si="0"/>
        <v>0</v>
      </c>
      <c r="U26" s="172">
        <v>0</v>
      </c>
      <c r="V26" t="s">
        <v>375</v>
      </c>
    </row>
    <row r="27" spans="1:22" s="101" customFormat="1" x14ac:dyDescent="0.4">
      <c r="A27" s="104">
        <v>24</v>
      </c>
      <c r="B27" s="102" t="s">
        <v>89</v>
      </c>
      <c r="C27" s="211">
        <v>20702</v>
      </c>
      <c r="D27" s="102">
        <v>8432</v>
      </c>
      <c r="E27" s="102" t="s">
        <v>214</v>
      </c>
      <c r="F27" s="102" t="s">
        <v>28</v>
      </c>
      <c r="G27" s="103" t="str">
        <f>VLOOKUP(F27,lookup!B:C,2,FALSE)</f>
        <v>Peabody</v>
      </c>
      <c r="H27" s="102" t="s">
        <v>162</v>
      </c>
      <c r="I27" s="102" t="s">
        <v>215</v>
      </c>
      <c r="J27" s="102" t="s">
        <v>312</v>
      </c>
      <c r="K27" s="102" t="s">
        <v>151</v>
      </c>
      <c r="L27" s="117">
        <v>225791</v>
      </c>
      <c r="M27" s="118">
        <v>239341</v>
      </c>
      <c r="N27" s="118">
        <v>209419</v>
      </c>
      <c r="O27" s="118">
        <v>209419</v>
      </c>
      <c r="P27" s="118">
        <v>205444</v>
      </c>
      <c r="Q27" s="119">
        <f>'20702'!H18</f>
        <v>239341</v>
      </c>
      <c r="R27" s="125">
        <v>0</v>
      </c>
      <c r="S27" s="125">
        <v>0</v>
      </c>
      <c r="T27" s="203">
        <f t="shared" si="0"/>
        <v>0</v>
      </c>
      <c r="U27" s="172">
        <v>0</v>
      </c>
      <c r="V27" t="s">
        <v>365</v>
      </c>
    </row>
    <row r="28" spans="1:22" s="101" customFormat="1" x14ac:dyDescent="0.4">
      <c r="A28" s="104">
        <v>25</v>
      </c>
      <c r="B28" s="102" t="s">
        <v>89</v>
      </c>
      <c r="C28" s="211">
        <v>20718</v>
      </c>
      <c r="D28" s="102">
        <v>8608</v>
      </c>
      <c r="E28" s="102" t="s">
        <v>268</v>
      </c>
      <c r="F28" s="102" t="s">
        <v>10</v>
      </c>
      <c r="G28" s="103" t="str">
        <f>VLOOKUP(F28,lookup!B:C,2,FALSE)</f>
        <v>Arts &amp; Science</v>
      </c>
      <c r="H28" s="102" t="s">
        <v>269</v>
      </c>
      <c r="I28" s="102" t="s">
        <v>270</v>
      </c>
      <c r="J28" s="102" t="s">
        <v>101</v>
      </c>
      <c r="K28" s="102" t="s">
        <v>271</v>
      </c>
      <c r="L28" s="117">
        <v>715000</v>
      </c>
      <c r="M28" s="118">
        <v>715000</v>
      </c>
      <c r="N28" s="118">
        <v>617745.19999999995</v>
      </c>
      <c r="O28" s="118">
        <v>622431.19999999995</v>
      </c>
      <c r="P28" s="118">
        <v>482034.33</v>
      </c>
      <c r="Q28" s="119">
        <f>'20718'!H18</f>
        <v>96166</v>
      </c>
      <c r="R28" s="125">
        <v>0</v>
      </c>
      <c r="S28" s="125">
        <v>0</v>
      </c>
      <c r="T28" s="203">
        <f t="shared" si="0"/>
        <v>0</v>
      </c>
      <c r="U28" s="172">
        <v>0</v>
      </c>
      <c r="V28" t="s">
        <v>376</v>
      </c>
    </row>
    <row r="29" spans="1:22" s="101" customFormat="1" x14ac:dyDescent="0.4">
      <c r="A29" s="104">
        <v>26</v>
      </c>
      <c r="B29" s="102" t="s">
        <v>89</v>
      </c>
      <c r="C29" s="211">
        <v>20723</v>
      </c>
      <c r="D29" s="102">
        <v>1628</v>
      </c>
      <c r="E29" s="102" t="s">
        <v>260</v>
      </c>
      <c r="F29" s="102" t="s">
        <v>21</v>
      </c>
      <c r="G29" s="103" t="str">
        <f>VLOOKUP(F29,lookup!B:C,2,FALSE)</f>
        <v>SOM Basic Sciences</v>
      </c>
      <c r="H29" s="102" t="s">
        <v>149</v>
      </c>
      <c r="I29" s="102" t="s">
        <v>313</v>
      </c>
      <c r="J29" s="102" t="s">
        <v>101</v>
      </c>
      <c r="K29" s="102" t="s">
        <v>153</v>
      </c>
      <c r="L29" s="117">
        <v>1500000</v>
      </c>
      <c r="M29" s="118">
        <v>160500</v>
      </c>
      <c r="N29" s="118">
        <v>155232.51999999999</v>
      </c>
      <c r="O29" s="118">
        <v>155232.51999999999</v>
      </c>
      <c r="P29" s="118">
        <v>138257.51999999999</v>
      </c>
      <c r="Q29" s="119">
        <f>'20723'!H18</f>
        <v>160500</v>
      </c>
      <c r="R29" s="125">
        <v>0</v>
      </c>
      <c r="S29" s="125">
        <f>L29-Q29</f>
        <v>1339500</v>
      </c>
      <c r="T29" s="203">
        <f t="shared" si="0"/>
        <v>1339500</v>
      </c>
      <c r="U29" s="172">
        <v>0</v>
      </c>
      <c r="V29" t="s">
        <v>377</v>
      </c>
    </row>
    <row r="30" spans="1:22" s="101" customFormat="1" x14ac:dyDescent="0.4">
      <c r="A30" s="104">
        <v>27</v>
      </c>
      <c r="B30" s="102" t="s">
        <v>89</v>
      </c>
      <c r="C30" s="211">
        <v>20724</v>
      </c>
      <c r="D30" s="102">
        <v>8557</v>
      </c>
      <c r="E30" s="102" t="s">
        <v>236</v>
      </c>
      <c r="F30" s="102" t="s">
        <v>12</v>
      </c>
      <c r="G30" s="103" t="str">
        <f>VLOOKUP(F30,lookup!B:C,2,FALSE)</f>
        <v>Blair</v>
      </c>
      <c r="H30" s="102" t="s">
        <v>152</v>
      </c>
      <c r="I30" s="102" t="s">
        <v>235</v>
      </c>
      <c r="J30" s="102" t="s">
        <v>100</v>
      </c>
      <c r="K30" s="102" t="s">
        <v>153</v>
      </c>
      <c r="L30" s="117">
        <v>1500000</v>
      </c>
      <c r="M30" s="118">
        <v>23400</v>
      </c>
      <c r="N30" s="118">
        <v>21480</v>
      </c>
      <c r="O30" s="118">
        <v>21480</v>
      </c>
      <c r="P30" s="118">
        <v>12000</v>
      </c>
      <c r="Q30" s="119">
        <f>'20724'!H18</f>
        <v>23400</v>
      </c>
      <c r="R30" s="125">
        <v>0</v>
      </c>
      <c r="S30" s="125">
        <f>L30-Q30</f>
        <v>1476600</v>
      </c>
      <c r="T30" s="203">
        <f t="shared" si="0"/>
        <v>1476600</v>
      </c>
      <c r="U30" s="172">
        <v>0</v>
      </c>
      <c r="V30" t="s">
        <v>378</v>
      </c>
    </row>
    <row r="31" spans="1:22" s="101" customFormat="1" x14ac:dyDescent="0.4">
      <c r="A31" s="104">
        <v>28</v>
      </c>
      <c r="B31" s="102" t="s">
        <v>90</v>
      </c>
      <c r="C31" s="211">
        <v>20735</v>
      </c>
      <c r="D31" s="102">
        <v>8226</v>
      </c>
      <c r="E31" s="102"/>
      <c r="F31" s="102" t="s">
        <v>26</v>
      </c>
      <c r="G31" s="103" t="str">
        <f>VLOOKUP(F31,lookup!B:C,2,FALSE)</f>
        <v>Owen</v>
      </c>
      <c r="H31" s="102" t="s">
        <v>247</v>
      </c>
      <c r="I31" s="102" t="s">
        <v>266</v>
      </c>
      <c r="J31" s="102" t="s">
        <v>101</v>
      </c>
      <c r="K31" s="102" t="s">
        <v>151</v>
      </c>
      <c r="L31" s="117">
        <v>300000</v>
      </c>
      <c r="M31" s="118">
        <v>300000</v>
      </c>
      <c r="N31" s="118">
        <v>276500</v>
      </c>
      <c r="O31" s="118">
        <v>276500</v>
      </c>
      <c r="P31" s="118">
        <v>24150</v>
      </c>
      <c r="Q31" s="119">
        <f>'20735'!H18</f>
        <v>300000</v>
      </c>
      <c r="R31" s="125">
        <v>0</v>
      </c>
      <c r="S31" s="125">
        <v>0</v>
      </c>
      <c r="T31" s="203">
        <f t="shared" si="0"/>
        <v>0</v>
      </c>
      <c r="U31" s="172">
        <v>0</v>
      </c>
      <c r="V31" t="s">
        <v>379</v>
      </c>
    </row>
    <row r="32" spans="1:22" s="101" customFormat="1" x14ac:dyDescent="0.4">
      <c r="A32" s="104">
        <v>29</v>
      </c>
      <c r="B32" s="102" t="s">
        <v>90</v>
      </c>
      <c r="C32" s="102">
        <v>20767</v>
      </c>
      <c r="D32" s="102">
        <v>8673</v>
      </c>
      <c r="E32" s="102"/>
      <c r="F32" s="102" t="s">
        <v>28</v>
      </c>
      <c r="G32" s="103" t="str">
        <f>VLOOKUP(F32,lookup!B:C,2,FALSE)</f>
        <v>Peabody</v>
      </c>
      <c r="H32" s="102" t="s">
        <v>272</v>
      </c>
      <c r="I32" s="102" t="s">
        <v>273</v>
      </c>
      <c r="J32" s="102" t="s">
        <v>100</v>
      </c>
      <c r="K32" s="102" t="s">
        <v>357</v>
      </c>
      <c r="L32" s="117"/>
      <c r="M32" s="118">
        <v>0</v>
      </c>
      <c r="N32" s="118">
        <v>0</v>
      </c>
      <c r="O32" s="118">
        <v>0</v>
      </c>
      <c r="P32" s="118">
        <v>0</v>
      </c>
      <c r="Q32" s="119">
        <v>0</v>
      </c>
      <c r="R32" s="125">
        <v>0</v>
      </c>
      <c r="S32" s="125">
        <v>35000</v>
      </c>
      <c r="T32" s="203">
        <f t="shared" si="0"/>
        <v>35000</v>
      </c>
      <c r="U32" s="172">
        <v>0</v>
      </c>
      <c r="V32" t="s">
        <v>380</v>
      </c>
    </row>
    <row r="33" spans="1:22" s="101" customFormat="1" x14ac:dyDescent="0.4">
      <c r="A33" s="104">
        <v>30</v>
      </c>
      <c r="B33" s="102" t="s">
        <v>90</v>
      </c>
      <c r="C33" s="213">
        <v>20771</v>
      </c>
      <c r="D33" s="102">
        <v>8674</v>
      </c>
      <c r="E33" s="102"/>
      <c r="F33" s="102" t="s">
        <v>10</v>
      </c>
      <c r="G33" s="103" t="str">
        <f>VLOOKUP(F33,lookup!B:C,2,FALSE)</f>
        <v>Arts &amp; Science</v>
      </c>
      <c r="H33" s="102" t="s">
        <v>161</v>
      </c>
      <c r="I33" s="102" t="s">
        <v>276</v>
      </c>
      <c r="J33" s="102" t="s">
        <v>340</v>
      </c>
      <c r="K33" s="102" t="s">
        <v>158</v>
      </c>
      <c r="L33" s="117">
        <v>25000</v>
      </c>
      <c r="M33" s="118">
        <v>24997</v>
      </c>
      <c r="N33" s="118">
        <v>17972</v>
      </c>
      <c r="O33" s="118">
        <v>17972</v>
      </c>
      <c r="P33" s="118">
        <v>17972</v>
      </c>
      <c r="Q33" s="119">
        <f>'20771'!H18</f>
        <v>24997</v>
      </c>
      <c r="R33" s="125">
        <v>0</v>
      </c>
      <c r="S33" s="125">
        <v>0</v>
      </c>
      <c r="T33" s="203">
        <f t="shared" si="0"/>
        <v>0</v>
      </c>
      <c r="U33" s="172">
        <v>0</v>
      </c>
      <c r="V33" t="s">
        <v>343</v>
      </c>
    </row>
    <row r="34" spans="1:22" s="101" customFormat="1" x14ac:dyDescent="0.4">
      <c r="A34" s="104">
        <v>31</v>
      </c>
      <c r="B34" s="102" t="s">
        <v>89</v>
      </c>
      <c r="C34" s="102">
        <v>20772</v>
      </c>
      <c r="D34" s="102">
        <v>8675</v>
      </c>
      <c r="E34" s="102"/>
      <c r="F34" s="102" t="s">
        <v>26</v>
      </c>
      <c r="G34" s="103" t="str">
        <f>VLOOKUP(F34,lookup!B:C,2,FALSE)</f>
        <v>Owen</v>
      </c>
      <c r="H34" s="102" t="s">
        <v>247</v>
      </c>
      <c r="I34" s="102" t="s">
        <v>277</v>
      </c>
      <c r="J34" s="102" t="s">
        <v>341</v>
      </c>
      <c r="K34" s="102" t="s">
        <v>151</v>
      </c>
      <c r="L34" s="117"/>
      <c r="M34" s="118">
        <v>0</v>
      </c>
      <c r="N34" s="118">
        <v>0</v>
      </c>
      <c r="O34" s="118">
        <v>0</v>
      </c>
      <c r="P34" s="118">
        <v>0</v>
      </c>
      <c r="Q34" s="119">
        <v>0</v>
      </c>
      <c r="R34" s="125">
        <v>0</v>
      </c>
      <c r="S34" s="125" t="s">
        <v>220</v>
      </c>
      <c r="T34" s="203">
        <f t="shared" si="0"/>
        <v>0</v>
      </c>
      <c r="U34" s="172">
        <v>0</v>
      </c>
      <c r="V34" t="s">
        <v>381</v>
      </c>
    </row>
    <row r="35" spans="1:22" s="101" customFormat="1" x14ac:dyDescent="0.4">
      <c r="A35" s="104">
        <v>32</v>
      </c>
      <c r="B35" s="102" t="s">
        <v>89</v>
      </c>
      <c r="C35" s="213">
        <v>20792</v>
      </c>
      <c r="D35" s="102">
        <v>1035</v>
      </c>
      <c r="E35" s="102" t="s">
        <v>299</v>
      </c>
      <c r="F35" s="102" t="s">
        <v>156</v>
      </c>
      <c r="G35" s="103" t="str">
        <f>VLOOKUP(F35,lookup!B:C,2,FALSE)</f>
        <v>Law</v>
      </c>
      <c r="H35" s="102" t="s">
        <v>293</v>
      </c>
      <c r="I35" s="102" t="s">
        <v>294</v>
      </c>
      <c r="J35" s="102" t="s">
        <v>101</v>
      </c>
      <c r="K35" s="102" t="s">
        <v>151</v>
      </c>
      <c r="L35" s="117">
        <v>400000</v>
      </c>
      <c r="M35" s="118">
        <v>483440</v>
      </c>
      <c r="N35" s="118">
        <v>441580</v>
      </c>
      <c r="O35" s="118">
        <v>441580</v>
      </c>
      <c r="P35" s="118">
        <v>404017</v>
      </c>
      <c r="Q35" s="119">
        <f>'20792'!H18</f>
        <v>483440</v>
      </c>
      <c r="R35" s="125">
        <v>0</v>
      </c>
      <c r="S35" s="125">
        <v>0</v>
      </c>
      <c r="T35" s="203">
        <f t="shared" si="0"/>
        <v>0</v>
      </c>
      <c r="U35" s="172">
        <v>0</v>
      </c>
      <c r="V35" t="s">
        <v>382</v>
      </c>
    </row>
    <row r="36" spans="1:22" s="101" customFormat="1" x14ac:dyDescent="0.4">
      <c r="A36" s="104">
        <v>33</v>
      </c>
      <c r="B36" s="102" t="s">
        <v>90</v>
      </c>
      <c r="C36" s="102">
        <v>20811</v>
      </c>
      <c r="D36" s="102"/>
      <c r="E36" s="102"/>
      <c r="F36" s="102" t="s">
        <v>28</v>
      </c>
      <c r="G36" s="103" t="str">
        <f>VLOOKUP(F36,lookup!B:C,2,FALSE)</f>
        <v>Peabody</v>
      </c>
      <c r="H36" s="102" t="s">
        <v>352</v>
      </c>
      <c r="I36" s="102" t="s">
        <v>353</v>
      </c>
      <c r="J36" s="102" t="s">
        <v>341</v>
      </c>
      <c r="K36" s="102" t="s">
        <v>151</v>
      </c>
      <c r="L36" s="117">
        <v>75000</v>
      </c>
      <c r="M36" s="118">
        <v>0</v>
      </c>
      <c r="N36" s="118">
        <v>0</v>
      </c>
      <c r="O36" s="118">
        <v>0</v>
      </c>
      <c r="P36" s="118">
        <v>0</v>
      </c>
      <c r="Q36" s="119">
        <v>0</v>
      </c>
      <c r="R36" s="125">
        <v>0</v>
      </c>
      <c r="S36" s="125">
        <v>0</v>
      </c>
      <c r="T36" s="203">
        <f t="shared" ref="T36:T40" si="1">SUM(R36:S36)</f>
        <v>0</v>
      </c>
      <c r="U36" s="172">
        <v>0</v>
      </c>
      <c r="V36" t="s">
        <v>383</v>
      </c>
    </row>
    <row r="37" spans="1:22" s="101" customFormat="1" x14ac:dyDescent="0.4">
      <c r="A37" s="104">
        <v>34</v>
      </c>
      <c r="B37" s="102" t="s">
        <v>90</v>
      </c>
      <c r="C37" s="102">
        <v>20831</v>
      </c>
      <c r="D37" s="102"/>
      <c r="E37" s="102"/>
      <c r="F37" s="102" t="s">
        <v>10</v>
      </c>
      <c r="G37" s="103" t="str">
        <f>VLOOKUP(F37,lookup!B:C,2,FALSE)</f>
        <v>Arts &amp; Science</v>
      </c>
      <c r="H37" s="102" t="s">
        <v>354</v>
      </c>
      <c r="I37" s="102" t="s">
        <v>355</v>
      </c>
      <c r="J37" s="102" t="s">
        <v>274</v>
      </c>
      <c r="K37" s="102" t="s">
        <v>158</v>
      </c>
      <c r="L37" s="117"/>
      <c r="M37" s="118">
        <v>0</v>
      </c>
      <c r="N37" s="118">
        <v>0</v>
      </c>
      <c r="O37" s="118">
        <v>0</v>
      </c>
      <c r="P37" s="118">
        <v>0</v>
      </c>
      <c r="Q37" s="119">
        <v>0</v>
      </c>
      <c r="R37" s="125">
        <v>0</v>
      </c>
      <c r="S37" s="125">
        <v>0</v>
      </c>
      <c r="T37" s="203">
        <f t="shared" si="1"/>
        <v>0</v>
      </c>
      <c r="U37" s="172">
        <v>0</v>
      </c>
      <c r="V37" s="102" t="s">
        <v>344</v>
      </c>
    </row>
    <row r="38" spans="1:22" s="101" customFormat="1" x14ac:dyDescent="0.4">
      <c r="A38" s="104">
        <v>35</v>
      </c>
      <c r="B38" s="102" t="s">
        <v>90</v>
      </c>
      <c r="C38" s="102">
        <v>20832</v>
      </c>
      <c r="D38" s="102"/>
      <c r="E38" s="102"/>
      <c r="F38" s="102" t="s">
        <v>10</v>
      </c>
      <c r="G38" s="103" t="str">
        <f>VLOOKUP(F38,lookup!B:C,2,FALSE)</f>
        <v>Arts &amp; Science</v>
      </c>
      <c r="H38" s="102" t="s">
        <v>209</v>
      </c>
      <c r="I38" s="102" t="s">
        <v>338</v>
      </c>
      <c r="J38" s="102" t="s">
        <v>100</v>
      </c>
      <c r="K38" s="102" t="s">
        <v>158</v>
      </c>
      <c r="L38" s="117"/>
      <c r="M38" s="118">
        <v>0</v>
      </c>
      <c r="N38" s="118">
        <v>0</v>
      </c>
      <c r="O38" s="118">
        <v>0</v>
      </c>
      <c r="P38" s="118">
        <v>0</v>
      </c>
      <c r="Q38" s="119">
        <v>0</v>
      </c>
      <c r="R38" s="125">
        <v>0</v>
      </c>
      <c r="S38" s="125">
        <v>0</v>
      </c>
      <c r="T38" s="203">
        <f t="shared" si="1"/>
        <v>0</v>
      </c>
      <c r="U38" s="172">
        <v>0</v>
      </c>
      <c r="V38" s="102" t="s">
        <v>344</v>
      </c>
    </row>
    <row r="39" spans="1:22" s="101" customFormat="1" x14ac:dyDescent="0.4">
      <c r="A39" s="104">
        <v>36</v>
      </c>
      <c r="B39" s="102" t="s">
        <v>90</v>
      </c>
      <c r="C39" s="102">
        <v>20833</v>
      </c>
      <c r="D39" s="102"/>
      <c r="E39" s="102"/>
      <c r="F39" s="102" t="s">
        <v>10</v>
      </c>
      <c r="G39" s="103" t="str">
        <f>VLOOKUP(F39,lookup!B:C,2,FALSE)</f>
        <v>Arts &amp; Science</v>
      </c>
      <c r="H39" s="102" t="s">
        <v>210</v>
      </c>
      <c r="I39" s="102" t="s">
        <v>339</v>
      </c>
      <c r="J39" s="102" t="s">
        <v>274</v>
      </c>
      <c r="K39" s="102" t="s">
        <v>158</v>
      </c>
      <c r="L39" s="117"/>
      <c r="M39" s="118">
        <v>0</v>
      </c>
      <c r="N39" s="118">
        <v>0</v>
      </c>
      <c r="O39" s="118">
        <v>0</v>
      </c>
      <c r="P39" s="118">
        <v>0</v>
      </c>
      <c r="Q39" s="119">
        <v>0</v>
      </c>
      <c r="R39" s="125">
        <v>0</v>
      </c>
      <c r="S39" s="125">
        <v>0</v>
      </c>
      <c r="T39" s="203">
        <f t="shared" si="1"/>
        <v>0</v>
      </c>
      <c r="U39" s="172">
        <v>0</v>
      </c>
      <c r="V39" s="102" t="s">
        <v>344</v>
      </c>
    </row>
    <row r="40" spans="1:22" s="101" customFormat="1" x14ac:dyDescent="0.4">
      <c r="A40" s="104">
        <v>37</v>
      </c>
      <c r="B40" s="102" t="s">
        <v>90</v>
      </c>
      <c r="C40" s="102">
        <v>20834</v>
      </c>
      <c r="D40" s="102"/>
      <c r="E40" s="102"/>
      <c r="F40" s="102" t="s">
        <v>28</v>
      </c>
      <c r="G40" s="103" t="str">
        <f>VLOOKUP(F40,lookup!B:C,2,FALSE)</f>
        <v>Peabody</v>
      </c>
      <c r="H40" s="102" t="s">
        <v>162</v>
      </c>
      <c r="I40" s="102" t="s">
        <v>356</v>
      </c>
      <c r="J40" s="102" t="s">
        <v>100</v>
      </c>
      <c r="K40" s="102" t="s">
        <v>158</v>
      </c>
      <c r="L40" s="117"/>
      <c r="M40" s="118">
        <v>0</v>
      </c>
      <c r="N40" s="118">
        <v>0</v>
      </c>
      <c r="O40" s="118">
        <v>0</v>
      </c>
      <c r="P40" s="118">
        <v>0</v>
      </c>
      <c r="Q40" s="119">
        <v>0</v>
      </c>
      <c r="R40" s="125">
        <v>0</v>
      </c>
      <c r="S40" s="125">
        <v>0</v>
      </c>
      <c r="T40" s="203">
        <f t="shared" si="1"/>
        <v>0</v>
      </c>
      <c r="U40" s="172">
        <v>0</v>
      </c>
      <c r="V40" s="102" t="s">
        <v>344</v>
      </c>
    </row>
    <row r="41" spans="1:22" ht="15" thickBot="1" x14ac:dyDescent="0.45">
      <c r="B41" s="92"/>
      <c r="C41" s="92"/>
      <c r="D41" s="93"/>
      <c r="E41" s="92"/>
      <c r="F41" s="92"/>
      <c r="G41" s="105"/>
      <c r="H41" s="92"/>
      <c r="I41" s="92"/>
      <c r="J41" s="92"/>
      <c r="K41" s="92"/>
      <c r="L41" s="120">
        <f t="shared" ref="L41:S41" si="2">SUM(L4:L40)</f>
        <v>28754242.759999998</v>
      </c>
      <c r="M41" s="121">
        <f t="shared" si="2"/>
        <v>13356626.76</v>
      </c>
      <c r="N41" s="121">
        <f t="shared" si="2"/>
        <v>11150804.489999998</v>
      </c>
      <c r="O41" s="121">
        <f t="shared" si="2"/>
        <v>11174250.489999998</v>
      </c>
      <c r="P41" s="121">
        <f t="shared" si="2"/>
        <v>8062976.8199999984</v>
      </c>
      <c r="Q41" s="122">
        <f t="shared" si="2"/>
        <v>8797286.2599999998</v>
      </c>
      <c r="R41" s="126">
        <f t="shared" si="2"/>
        <v>1028900</v>
      </c>
      <c r="S41" s="126">
        <f t="shared" si="2"/>
        <v>6651237.5</v>
      </c>
      <c r="T41" s="204">
        <f>SUM(T4:T40)</f>
        <v>7680137.5</v>
      </c>
      <c r="U41" s="173">
        <f>SUM(U20:U40)</f>
        <v>0</v>
      </c>
      <c r="V41" s="92"/>
    </row>
    <row r="42" spans="1:22" x14ac:dyDescent="0.4">
      <c r="Q42" s="123" t="b">
        <f>Q41='JE LOG_FY23'!C21</f>
        <v>1</v>
      </c>
      <c r="R42" s="123" t="b">
        <f>R41='JE LOG_FY24'!C21</f>
        <v>1</v>
      </c>
      <c r="T42" s="87"/>
    </row>
    <row r="43" spans="1:22" x14ac:dyDescent="0.4">
      <c r="I43" s="98" t="s">
        <v>216</v>
      </c>
    </row>
    <row r="44" spans="1:22" x14ac:dyDescent="0.4">
      <c r="I44" s="99" t="s">
        <v>275</v>
      </c>
      <c r="L44" s="160" t="s">
        <v>262</v>
      </c>
      <c r="M44" s="160"/>
      <c r="N44" s="160"/>
      <c r="O44" s="160"/>
      <c r="P44" s="160"/>
      <c r="Q44" s="160">
        <f>'Summary_for Web-1'!C15</f>
        <v>9364499</v>
      </c>
      <c r="S44" s="160" t="s">
        <v>325</v>
      </c>
      <c r="T44" s="160">
        <f>Q48</f>
        <v>567212.74000000022</v>
      </c>
    </row>
    <row r="45" spans="1:22" x14ac:dyDescent="0.4">
      <c r="A45" s="85"/>
      <c r="I45" s="99" t="s">
        <v>351</v>
      </c>
      <c r="L45" s="160"/>
      <c r="M45" s="160"/>
      <c r="N45" s="160"/>
      <c r="O45" s="160"/>
      <c r="P45" s="160"/>
      <c r="Q45" s="161"/>
      <c r="S45" s="160" t="s">
        <v>262</v>
      </c>
      <c r="T45" s="160">
        <f>Contributions!G14</f>
        <v>11029283.289999999</v>
      </c>
    </row>
    <row r="46" spans="1:22" x14ac:dyDescent="0.4">
      <c r="I46" s="99" t="s">
        <v>335</v>
      </c>
      <c r="J46" s="106"/>
      <c r="L46" s="160" t="s">
        <v>263</v>
      </c>
      <c r="M46" s="160"/>
      <c r="N46" s="160"/>
      <c r="O46" s="160"/>
      <c r="P46" s="160"/>
      <c r="Q46" s="161">
        <f>Q41</f>
        <v>8797286.2599999998</v>
      </c>
      <c r="S46" s="160"/>
      <c r="T46" s="162">
        <f>SUM(T44:T45)</f>
        <v>11596496.029999999</v>
      </c>
    </row>
    <row r="47" spans="1:22" x14ac:dyDescent="0.4">
      <c r="L47" s="160"/>
      <c r="M47" s="160"/>
      <c r="N47" s="160"/>
      <c r="O47" s="160"/>
      <c r="P47" s="160"/>
      <c r="Q47" s="160"/>
    </row>
    <row r="48" spans="1:22" x14ac:dyDescent="0.4">
      <c r="I48" s="98" t="s">
        <v>226</v>
      </c>
      <c r="L48" s="160" t="s">
        <v>264</v>
      </c>
      <c r="M48" s="160"/>
      <c r="N48" s="160"/>
      <c r="O48" s="160"/>
      <c r="P48" s="160"/>
      <c r="Q48" s="160">
        <f>Q44-Q46</f>
        <v>567212.74000000022</v>
      </c>
      <c r="S48" s="160" t="s">
        <v>263</v>
      </c>
      <c r="T48" s="161">
        <f>R41</f>
        <v>1028900</v>
      </c>
    </row>
    <row r="49" spans="9:20" x14ac:dyDescent="0.4">
      <c r="I49" s="99" t="s">
        <v>307</v>
      </c>
      <c r="S49" s="160" t="s">
        <v>265</v>
      </c>
      <c r="T49" s="161">
        <f>S41</f>
        <v>6651237.5</v>
      </c>
    </row>
    <row r="50" spans="9:20" x14ac:dyDescent="0.4">
      <c r="I50" s="99" t="s">
        <v>336</v>
      </c>
      <c r="S50" s="160"/>
      <c r="T50" s="162">
        <f>SUM(T48:T49)</f>
        <v>7680137.5</v>
      </c>
    </row>
    <row r="51" spans="9:20" x14ac:dyDescent="0.4">
      <c r="S51" s="160"/>
      <c r="T51" s="160"/>
    </row>
    <row r="52" spans="9:20" x14ac:dyDescent="0.4">
      <c r="S52" s="160" t="s">
        <v>264</v>
      </c>
      <c r="T52" s="160">
        <f>T46-T50</f>
        <v>3916358.5299999993</v>
      </c>
    </row>
    <row r="53" spans="9:20" x14ac:dyDescent="0.4">
      <c r="I53" s="99"/>
    </row>
    <row r="56" spans="9:20" x14ac:dyDescent="0.4">
      <c r="I56" s="174"/>
    </row>
    <row r="57" spans="9:20" x14ac:dyDescent="0.4">
      <c r="I57" s="174"/>
    </row>
  </sheetData>
  <sortState xmlns:xlrd2="http://schemas.microsoft.com/office/spreadsheetml/2017/richdata2" ref="A4:V23">
    <sortCondition ref="C4:C23"/>
    <sortCondition ref="J4:J23"/>
    <sortCondition descending="1" ref="L4:L23"/>
  </sortState>
  <phoneticPr fontId="5" type="noConversion"/>
  <hyperlinks>
    <hyperlink ref="Q1" location="'JE LOG_FY23'!A1" display="'JE LOG_FY23'!A1" xr:uid="{4AA5BFBA-BD76-4E23-903B-8F8B27E7CF98}"/>
    <hyperlink ref="T1" location="'JE LOG_FY24'!A1" display="'JE LOG_FY24'!A1" xr:uid="{99AF6BF7-AF06-41DE-9239-729475E55066}"/>
    <hyperlink ref="C4" location="'10085'!A1" display="'10085'!A1" xr:uid="{28D4DF83-C31B-47FC-9AC0-5D220C97A63C}"/>
    <hyperlink ref="C5" location="'10098'!A1" display="'10098'!A1" xr:uid="{373BE11F-2E64-482C-B05A-BB275305D949}"/>
    <hyperlink ref="C6" location="'10146'!A1" display="'10146'!A1" xr:uid="{FF0F8BA0-459A-408F-B9D3-FA7F2D2EE021}"/>
    <hyperlink ref="C7" location="'20179'!A1" display="'20179'!A1" xr:uid="{55B14098-0F8C-43BE-9FE8-0D88F96B1BCA}"/>
    <hyperlink ref="C8" location="'20336'!A1" display="'20336'!A1" xr:uid="{2DC0FA85-9BAB-4AC1-ABDC-23DF9A3A008E}"/>
    <hyperlink ref="C9" location="'20431'!A1" display="'20431'!A1" xr:uid="{07FBEB51-1B05-4E73-A12A-C27287215C2B}"/>
    <hyperlink ref="C10" location="'20478'!A1" display="'20478'!A1" xr:uid="{C7EF4184-FED0-4DED-8D60-3EF1EE199007}"/>
    <hyperlink ref="C11" location="'20489'!A1" display="'20489'!A1" xr:uid="{9D7230F2-BDBE-41B1-B203-593A2F245F0A}"/>
    <hyperlink ref="C12" location="'20497'!A1" display="'20497'!A1" xr:uid="{A285E0E7-E54C-46AC-8F3E-DBB506498D71}"/>
    <hyperlink ref="C13" location="'20506'!A1" display="'20506'!A1" xr:uid="{B96F768D-31D9-4A7D-B477-3010B4993724}"/>
    <hyperlink ref="C14" location="'20562'!A1" display="'20562'!A1" xr:uid="{F63E76B8-75D7-495E-B439-FA9B60CEC18B}"/>
    <hyperlink ref="C16" location="'20566'!A1" display="'20566'!A1" xr:uid="{65FBC9C7-BEE8-4170-8DEC-6BD53C5DB8F2}"/>
    <hyperlink ref="C17" location="'20573'!A1" display="'20573'!A1" xr:uid="{7DC91A01-1BD7-4CBA-80B9-1CB0017E903C}"/>
    <hyperlink ref="C18" location="'20574'!A1" display="'20574'!A1" xr:uid="{3F58BF7F-74EA-40E1-A2D9-B0788A4CAA56}"/>
    <hyperlink ref="C19" location="'20577'!A1" display="'20577'!A1" xr:uid="{E4E03EDC-1D85-495A-996F-28BDA1FE2D95}"/>
    <hyperlink ref="C20" location="'20644'!A1" display="'20644'!A1" xr:uid="{56D90246-5045-4E6D-920C-C9EB79BA1867}"/>
    <hyperlink ref="C21" location="'20645'!A1" display="'20645'!A1" xr:uid="{5C077A91-6F5B-4609-96DB-D5862E31195D}"/>
    <hyperlink ref="C22" location="'20667'!A1" display="'20667'!A1" xr:uid="{B0EFA3A9-F118-4010-BC9B-FFB850AE03D3}"/>
    <hyperlink ref="C23" location="'20668'!A1" display="'20668'!A1" xr:uid="{71996D7E-F482-4DA2-96F5-C382FB8E6C8A}"/>
    <hyperlink ref="C24" location="'20698'!A1" display="'20698'!A1" xr:uid="{2C14D74A-7E9A-4498-9A54-2F16479FB91A}"/>
    <hyperlink ref="C25" location="'20700'!A1" display="'20700'!A1" xr:uid="{9B9974FF-2668-4A8D-8324-DB31439E834C}"/>
    <hyperlink ref="C26" location="'20701'!A1" display="'20701'!A1" xr:uid="{522EC4C6-1BB6-426D-9A22-93A808432E75}"/>
    <hyperlink ref="C27" location="'20702'!A1" display="'20702'!A1" xr:uid="{95ABA0AF-84D5-44F1-9DE8-F420044682C0}"/>
    <hyperlink ref="C28" location="'20718'!A1" display="'20718'!A1" xr:uid="{18ADD449-2D9B-458A-9F77-6CF3FFB38953}"/>
    <hyperlink ref="C29" location="'20723'!A1" display="'20723'!A1" xr:uid="{E58F18E4-8CE2-43E5-8E13-6E4EA658536A}"/>
    <hyperlink ref="C30" location="'20724'!A1" display="'20724'!A1" xr:uid="{B28A8F17-F6BC-4BCC-9062-12EB54161B68}"/>
    <hyperlink ref="C31" location="'20735'!A1" display="'20735'!A1" xr:uid="{281D51F0-83F8-4122-802A-733DE5411652}"/>
    <hyperlink ref="C35" location="'20792'!A1" display="'20792'!A1" xr:uid="{97B25019-50BA-4723-B61B-4F5C13979F91}"/>
    <hyperlink ref="C33" location="'20771'!A1" display="'20771'!A1" xr:uid="{9CCE891A-4EAE-45F0-97BC-86E45CF5D430}"/>
  </hyperlink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EEF1-D88B-4EE5-8B38-BB408A186926}">
  <sheetPr>
    <tabColor theme="3" tint="0.39997558519241921"/>
  </sheetPr>
  <dimension ref="A2:N84"/>
  <sheetViews>
    <sheetView topLeftCell="A34" zoomScaleNormal="100" workbookViewId="0">
      <selection activeCell="D49" sqref="D49"/>
    </sheetView>
  </sheetViews>
  <sheetFormatPr defaultRowHeight="14.6" outlineLevelCol="1" x14ac:dyDescent="0.4"/>
  <cols>
    <col min="2" max="2" width="3.53515625" bestFit="1" customWidth="1"/>
    <col min="3" max="3" width="8.53515625" bestFit="1" customWidth="1"/>
    <col min="4" max="4" width="29.3828125" bestFit="1" customWidth="1"/>
    <col min="5" max="5" width="52.4609375" customWidth="1"/>
    <col min="6" max="6" width="20.69140625" customWidth="1"/>
    <col min="7" max="7" width="13.84375" bestFit="1" customWidth="1"/>
    <col min="8" max="9" width="12" style="21" customWidth="1" outlineLevel="1"/>
    <col min="10" max="12" width="14.15234375" customWidth="1"/>
    <col min="14" max="14" width="10.53515625" bestFit="1" customWidth="1"/>
  </cols>
  <sheetData>
    <row r="2" spans="1:12" x14ac:dyDescent="0.4">
      <c r="A2" s="215" t="s">
        <v>301</v>
      </c>
      <c r="B2" s="177"/>
      <c r="C2" s="177" t="s">
        <v>127</v>
      </c>
      <c r="D2" s="177" t="s">
        <v>114</v>
      </c>
      <c r="E2" s="177" t="s">
        <v>87</v>
      </c>
      <c r="F2" s="177" t="s">
        <v>130</v>
      </c>
      <c r="G2" s="177" t="s">
        <v>131</v>
      </c>
      <c r="H2" s="178" t="s">
        <v>263</v>
      </c>
      <c r="I2" s="178" t="s">
        <v>303</v>
      </c>
      <c r="J2" s="194" t="s">
        <v>302</v>
      </c>
      <c r="K2" s="188" t="s">
        <v>305</v>
      </c>
      <c r="L2" s="195" t="s">
        <v>264</v>
      </c>
    </row>
    <row r="3" spans="1:12" ht="14.7" customHeight="1" x14ac:dyDescent="0.4">
      <c r="A3" s="215"/>
      <c r="B3" s="109">
        <v>1</v>
      </c>
      <c r="C3">
        <v>10085</v>
      </c>
      <c r="D3" t="str">
        <f>VLOOKUP(C3,'Project Status'!C:H,6,FALSE)</f>
        <v>One Magnolia Circle</v>
      </c>
      <c r="E3" t="str">
        <f>VLOOKUP(C3,'Project Status'!C:I,7,FALSE)</f>
        <v>One Magnolia Circle - Modify/Upgrade Electrical and Grounding</v>
      </c>
      <c r="F3" t="str">
        <f>VLOOKUP(C3,'Project Status'!C:J,8,FALSE)</f>
        <v>Finalized</v>
      </c>
      <c r="G3" t="str">
        <f>VLOOKUP(C3,'Project Status'!C:K,9,FALSE)</f>
        <v>Sean Rewers</v>
      </c>
      <c r="H3" s="21">
        <f>VLOOKUP(C3,'Project Status'!C:Q,15,FALSE)</f>
        <v>17500</v>
      </c>
      <c r="J3" s="176">
        <f>SUM(H3:I3)</f>
        <v>17500</v>
      </c>
      <c r="K3" s="214">
        <v>9364499</v>
      </c>
      <c r="L3" s="199"/>
    </row>
    <row r="4" spans="1:12" x14ac:dyDescent="0.4">
      <c r="A4" s="215"/>
      <c r="B4" s="109">
        <v>2</v>
      </c>
      <c r="C4">
        <v>10098</v>
      </c>
      <c r="D4" t="str">
        <f>VLOOKUP(C4,'Project Status'!C:H,6,FALSE)</f>
        <v>MRB III BIO/SCI</v>
      </c>
      <c r="E4" t="str">
        <f>VLOOKUP(C4,'Project Status'!C:I,7,FALSE)</f>
        <v>MRB III - 4th Floor - Replace Controls (Phase 2)</v>
      </c>
      <c r="F4" t="s">
        <v>238</v>
      </c>
      <c r="G4" t="str">
        <f>VLOOKUP(C4,'Project Status'!C:K,9,FALSE)</f>
        <v>Hans Mooy</v>
      </c>
      <c r="H4" s="21">
        <f>VLOOKUP(C4,'Project Status'!C:Q,15,FALSE)</f>
        <v>1216485.5</v>
      </c>
      <c r="J4" s="176">
        <f t="shared" ref="J4:J31" si="0">SUM(H4:I4)</f>
        <v>1216485.5</v>
      </c>
      <c r="K4" s="214"/>
      <c r="L4" s="199"/>
    </row>
    <row r="5" spans="1:12" x14ac:dyDescent="0.4">
      <c r="A5" s="215"/>
      <c r="B5" s="109">
        <v>3</v>
      </c>
      <c r="C5">
        <v>10146</v>
      </c>
      <c r="D5" t="str">
        <f>VLOOKUP(C5,'Project Status'!C:H,6,FALSE)</f>
        <v>Godchaux Hall</v>
      </c>
      <c r="E5" t="str">
        <f>VLOOKUP(C5,'Project Status'!C:I,7,FALSE)</f>
        <v>Godchaux Hall - HVAC Upgrade</v>
      </c>
      <c r="F5" t="s">
        <v>100</v>
      </c>
      <c r="G5" t="str">
        <f>VLOOKUP(C5,'Project Status'!C:K,9,FALSE)</f>
        <v>Sean Rewers</v>
      </c>
      <c r="H5" s="21">
        <f>VLOOKUP(C5,'Project Status'!C:Q,15,FALSE)</f>
        <v>4900</v>
      </c>
      <c r="J5" s="176">
        <f t="shared" si="0"/>
        <v>4900</v>
      </c>
      <c r="K5" s="214"/>
      <c r="L5" s="199"/>
    </row>
    <row r="6" spans="1:12" x14ac:dyDescent="0.4">
      <c r="A6" s="215"/>
      <c r="B6" s="109">
        <v>4</v>
      </c>
      <c r="C6">
        <v>20179</v>
      </c>
      <c r="D6" t="str">
        <f>VLOOKUP(C6,'Project Status'!C:H,6,FALSE)</f>
        <v>Law School</v>
      </c>
      <c r="E6" t="str">
        <f>VLOOKUP(C6,'Project Status'!C:I,7,FALSE)</f>
        <v>Law School - Fire Alarm System Replacement</v>
      </c>
      <c r="F6" t="s">
        <v>238</v>
      </c>
      <c r="G6" t="str">
        <f>VLOOKUP(C6,'Project Status'!C:K,9,FALSE)</f>
        <v>Bob Grummon</v>
      </c>
      <c r="H6" s="21">
        <f>VLOOKUP(C6,'Project Status'!C:Q,15,FALSE)</f>
        <v>722694.5</v>
      </c>
      <c r="J6" s="176">
        <f t="shared" si="0"/>
        <v>722694.5</v>
      </c>
      <c r="K6" s="214"/>
      <c r="L6" s="199"/>
    </row>
    <row r="7" spans="1:12" x14ac:dyDescent="0.4">
      <c r="A7" s="215"/>
      <c r="B7" s="109">
        <v>5</v>
      </c>
      <c r="C7">
        <v>20336</v>
      </c>
      <c r="D7" t="str">
        <f>VLOOKUP(C7,'Project Status'!C:H,6,FALSE)</f>
        <v>BLAIR SCHOOL OF MUSIC</v>
      </c>
      <c r="E7" t="str">
        <f>VLOOKUP(C7,'Project Status'!C:I,7,FALSE)</f>
        <v>Blair School of Music - Elevator #3 Modernization</v>
      </c>
      <c r="F7" t="s">
        <v>101</v>
      </c>
      <c r="G7" t="str">
        <f>VLOOKUP(C7,'Project Status'!C:K,9,FALSE)</f>
        <v>Ben Bedock</v>
      </c>
      <c r="H7" s="21">
        <f>VLOOKUP(C7,'Project Status'!C:Q,15,FALSE)</f>
        <v>327890</v>
      </c>
      <c r="J7" s="176">
        <f t="shared" si="0"/>
        <v>327890</v>
      </c>
      <c r="K7" s="214"/>
      <c r="L7" s="199"/>
    </row>
    <row r="8" spans="1:12" x14ac:dyDescent="0.4">
      <c r="A8" s="215"/>
      <c r="B8" s="109">
        <v>6</v>
      </c>
      <c r="C8">
        <v>20431</v>
      </c>
      <c r="D8" t="str">
        <f>VLOOKUP(C8,'Project Status'!C:H,6,FALSE)</f>
        <v>DIVINITY</v>
      </c>
      <c r="E8" t="str">
        <f>VLOOKUP(C8,'Project Status'!C:I,7,FALSE)</f>
        <v>Divinity - AHU 5N (5 &amp; 6) Replacement</v>
      </c>
      <c r="F8" t="s">
        <v>101</v>
      </c>
      <c r="G8" t="str">
        <f>VLOOKUP(C8,'Project Status'!C:K,9,FALSE)</f>
        <v>Hans Mooy</v>
      </c>
      <c r="H8" s="21">
        <f>VLOOKUP(C8,'Project Status'!C:Q,15,FALSE)</f>
        <v>69862.5</v>
      </c>
      <c r="J8" s="176">
        <f t="shared" si="0"/>
        <v>69862.5</v>
      </c>
      <c r="K8" s="214"/>
      <c r="L8" s="199"/>
    </row>
    <row r="9" spans="1:12" x14ac:dyDescent="0.4">
      <c r="A9" s="215"/>
      <c r="B9" s="109">
        <v>7</v>
      </c>
      <c r="C9">
        <v>20478</v>
      </c>
      <c r="D9" t="str">
        <f>VLOOKUP(C9,'Project Status'!C:H,6,FALSE)</f>
        <v>BRYAN BLDG</v>
      </c>
      <c r="E9" t="str">
        <f>VLOOKUP(C9,'Project Status'!C:I,7,FALSE)</f>
        <v>Bryan Building - Swing Space Renovation - A&amp;S Planning</v>
      </c>
      <c r="F9" t="s">
        <v>228</v>
      </c>
      <c r="G9" t="str">
        <f>VLOOKUP(C9,'Project Status'!C:K,9,FALSE)</f>
        <v>Cathy Bartlett</v>
      </c>
      <c r="H9" s="21">
        <f>VLOOKUP(C9,'Project Status'!C:Q,15,FALSE)</f>
        <v>81100</v>
      </c>
      <c r="J9" s="176">
        <f t="shared" si="0"/>
        <v>81100</v>
      </c>
      <c r="K9" s="214"/>
      <c r="L9" s="199"/>
    </row>
    <row r="10" spans="1:12" x14ac:dyDescent="0.4">
      <c r="A10" s="215"/>
      <c r="B10" s="109">
        <v>8</v>
      </c>
      <c r="C10">
        <v>20489</v>
      </c>
      <c r="D10" t="str">
        <f>VLOOKUP(C10,'Project Status'!C:H,6,FALSE)</f>
        <v>DIVINITY</v>
      </c>
      <c r="E10" t="str">
        <f>VLOOKUP(C10,'Project Status'!C:I,7,FALSE)</f>
        <v>Divinity - AHU 1N (1&amp;3) Replacement with Benton</v>
      </c>
      <c r="F10" t="s">
        <v>100</v>
      </c>
      <c r="G10" t="str">
        <f>VLOOKUP(C10,'Project Status'!C:K,9,FALSE)</f>
        <v>Hans Mooy</v>
      </c>
      <c r="H10" s="21">
        <f>VLOOKUP(C10,'Project Status'!C:Q,15,FALSE)</f>
        <v>26500</v>
      </c>
      <c r="J10" s="176">
        <f t="shared" si="0"/>
        <v>26500</v>
      </c>
      <c r="K10" s="214"/>
      <c r="L10" s="199"/>
    </row>
    <row r="11" spans="1:12" x14ac:dyDescent="0.4">
      <c r="A11" s="215"/>
      <c r="B11" s="109">
        <v>9</v>
      </c>
      <c r="C11">
        <v>20497</v>
      </c>
      <c r="D11" t="str">
        <f>VLOOKUP(C11,'Project Status'!C:H,6,FALSE)</f>
        <v>JESUP PSYCHOLOGY</v>
      </c>
      <c r="E11" t="str">
        <f>VLOOKUP(C11,'Project Status'!C:I,7,FALSE)</f>
        <v>Jesup - Roof Replacement</v>
      </c>
      <c r="F11" t="s">
        <v>101</v>
      </c>
      <c r="G11" t="str">
        <f>VLOOKUP(C11,'Project Status'!C:K,9,FALSE)</f>
        <v>Ben Bedock</v>
      </c>
      <c r="H11" s="21">
        <f>VLOOKUP(C11,'Project Status'!C:Q,15,FALSE)</f>
        <v>79415.5</v>
      </c>
      <c r="J11" s="176">
        <f t="shared" si="0"/>
        <v>79415.5</v>
      </c>
      <c r="K11" s="214"/>
      <c r="L11" s="199"/>
    </row>
    <row r="12" spans="1:12" x14ac:dyDescent="0.4">
      <c r="A12" s="215"/>
      <c r="B12" s="109">
        <v>10</v>
      </c>
      <c r="C12">
        <v>20506</v>
      </c>
      <c r="D12" t="str">
        <f>VLOOKUP(C12,'Project Status'!C:H,6,FALSE)</f>
        <v>WYATT CENTER</v>
      </c>
      <c r="E12" t="str">
        <f>VLOOKUP(C12,'Project Status'!C:I,7,FALSE)</f>
        <v>Wyatt Center - Window Replacement</v>
      </c>
      <c r="F12" t="s">
        <v>101</v>
      </c>
      <c r="G12" t="str">
        <f>VLOOKUP(C12,'Project Status'!C:K,9,FALSE)</f>
        <v>Ben Bedock</v>
      </c>
      <c r="H12" s="21">
        <f>VLOOKUP(C12,'Project Status'!C:Q,15,FALSE)</f>
        <v>344155.26</v>
      </c>
      <c r="J12" s="176">
        <f t="shared" si="0"/>
        <v>344155.26</v>
      </c>
      <c r="K12" s="214"/>
      <c r="L12" s="199"/>
    </row>
    <row r="13" spans="1:12" x14ac:dyDescent="0.4">
      <c r="A13" s="215"/>
      <c r="B13" s="109">
        <v>11</v>
      </c>
      <c r="C13">
        <v>20562</v>
      </c>
      <c r="D13" t="str">
        <f>VLOOKUP(C13,'Project Status'!C:H,6,FALSE)</f>
        <v>WYATT CENTER</v>
      </c>
      <c r="E13" t="str">
        <f>VLOOKUP(C13,'Project Status'!C:I,7,FALSE)</f>
        <v>Wyatt Center - VAV Replacement</v>
      </c>
      <c r="F13" t="s">
        <v>101</v>
      </c>
      <c r="G13" t="str">
        <f>VLOOKUP(C13,'Project Status'!C:K,9,FALSE)</f>
        <v>Sean Rewers</v>
      </c>
      <c r="H13" s="21">
        <f>VLOOKUP(C13,'Project Status'!C:Q,15,FALSE)</f>
        <v>405791</v>
      </c>
      <c r="J13" s="176">
        <f t="shared" si="0"/>
        <v>405791</v>
      </c>
      <c r="K13" s="214"/>
      <c r="L13" s="199"/>
    </row>
    <row r="14" spans="1:12" x14ac:dyDescent="0.4">
      <c r="A14" s="215"/>
      <c r="B14" s="109">
        <v>12</v>
      </c>
      <c r="C14">
        <v>20566</v>
      </c>
      <c r="D14" t="str">
        <f>VLOOKUP(C14,'Project Status'!C:H,6,FALSE)</f>
        <v>SC CHEMISTRY</v>
      </c>
      <c r="E14" t="str">
        <f>VLOOKUP(C14,'Project Status'!C:I,7,FALSE)</f>
        <v>SC Chemistry (SC7) - Elevator 1 &amp; 2 Modernization</v>
      </c>
      <c r="F14" t="s">
        <v>101</v>
      </c>
      <c r="G14" t="str">
        <f>VLOOKUP(C14,'Project Status'!C:K,9,FALSE)</f>
        <v>Ben Bedock</v>
      </c>
      <c r="H14" s="21">
        <f>VLOOKUP(C14,'Project Status'!C:Q,15,FALSE)</f>
        <v>781870</v>
      </c>
      <c r="J14" s="176">
        <f t="shared" si="0"/>
        <v>781870</v>
      </c>
      <c r="K14" s="214"/>
      <c r="L14" s="199"/>
    </row>
    <row r="15" spans="1:12" x14ac:dyDescent="0.4">
      <c r="A15" s="215"/>
      <c r="B15" s="109">
        <v>13</v>
      </c>
      <c r="C15">
        <v>20573</v>
      </c>
      <c r="D15" t="str">
        <f>VLOOKUP(C15,'Project Status'!C:H,6,FALSE)</f>
        <v>WYATT CENTER</v>
      </c>
      <c r="E15" t="str">
        <f>VLOOKUP(C15,'Project Status'!C:I,7,FALSE)</f>
        <v>Wyatt Center - Roof Replacement</v>
      </c>
      <c r="F15" t="s">
        <v>101</v>
      </c>
      <c r="G15" t="str">
        <f>VLOOKUP(C15,'Project Status'!C:K,9,FALSE)</f>
        <v>Ben Bedock</v>
      </c>
      <c r="H15" s="21">
        <f>VLOOKUP(C15,'Project Status'!C:Q,15,FALSE)</f>
        <v>1232681</v>
      </c>
      <c r="J15" s="176">
        <f t="shared" si="0"/>
        <v>1232681</v>
      </c>
      <c r="K15" s="214"/>
      <c r="L15" s="199"/>
    </row>
    <row r="16" spans="1:12" x14ac:dyDescent="0.4">
      <c r="A16" s="215"/>
      <c r="B16" s="109">
        <v>14</v>
      </c>
      <c r="C16">
        <v>20574</v>
      </c>
      <c r="D16" t="str">
        <f>VLOOKUP(C16,'Project Status'!C:H,6,FALSE)</f>
        <v>MRB III BIO/SCI</v>
      </c>
      <c r="E16" t="str">
        <f>VLOOKUP(C16,'Project Status'!C:I,7,FALSE)</f>
        <v>MRB III - Steam Coil Replacement</v>
      </c>
      <c r="F16" t="s">
        <v>101</v>
      </c>
      <c r="G16" t="str">
        <f>VLOOKUP(C16,'Project Status'!C:K,9,FALSE)</f>
        <v>Sean Rewers</v>
      </c>
      <c r="H16" s="21">
        <f>VLOOKUP(C16,'Project Status'!C:Q,15,FALSE)</f>
        <v>218202</v>
      </c>
      <c r="J16" s="176">
        <f t="shared" si="0"/>
        <v>218202</v>
      </c>
      <c r="K16" s="214"/>
      <c r="L16" s="199"/>
    </row>
    <row r="17" spans="1:12" x14ac:dyDescent="0.4">
      <c r="A17" s="215"/>
      <c r="B17" s="109">
        <v>15</v>
      </c>
      <c r="C17">
        <v>20577</v>
      </c>
      <c r="D17" t="str">
        <f>VLOOKUP(C17,'Project Status'!C:H,6,FALSE)</f>
        <v>BLAIR SCHOOL OF MUSIC</v>
      </c>
      <c r="E17" t="str">
        <f>VLOOKUP(C17,'Project Status'!C:I,7,FALSE)</f>
        <v>Blair School of Music - Air Handling Unit Replacement</v>
      </c>
      <c r="F17" t="s">
        <v>100</v>
      </c>
      <c r="G17" t="str">
        <f>VLOOKUP(C17,'Project Status'!C:K,9,FALSE)</f>
        <v>Hans Mooy</v>
      </c>
      <c r="H17" s="21">
        <f>VLOOKUP(C17,'Project Status'!C:Q,15,FALSE)</f>
        <v>223000</v>
      </c>
      <c r="J17" s="176">
        <f t="shared" si="0"/>
        <v>223000</v>
      </c>
      <c r="K17" s="214"/>
      <c r="L17" s="199"/>
    </row>
    <row r="18" spans="1:12" x14ac:dyDescent="0.4">
      <c r="A18" s="215"/>
      <c r="B18" s="109">
        <v>16</v>
      </c>
      <c r="C18">
        <v>20644</v>
      </c>
      <c r="D18" t="str">
        <f>VLOOKUP(C18,'Project Status'!C:H,6,FALSE)</f>
        <v>PEABODY ADMINISTRATION</v>
      </c>
      <c r="E18" t="str">
        <f>VLOOKUP(C18,'Project Status'!C:I,7,FALSE)</f>
        <v>Peabody Administration - Envelope Repairs</v>
      </c>
      <c r="F18" t="s">
        <v>101</v>
      </c>
      <c r="G18" t="str">
        <f>VLOOKUP(C18,'Project Status'!C:K,9,FALSE)</f>
        <v>Ben Bedock</v>
      </c>
      <c r="H18" s="21">
        <f>VLOOKUP(C18,'Project Status'!C:Q,15,FALSE)</f>
        <v>630554</v>
      </c>
      <c r="J18" s="176">
        <f t="shared" si="0"/>
        <v>630554</v>
      </c>
      <c r="K18" s="214"/>
      <c r="L18" s="199"/>
    </row>
    <row r="19" spans="1:12" x14ac:dyDescent="0.4">
      <c r="A19" s="215"/>
      <c r="B19" s="109">
        <v>17</v>
      </c>
      <c r="C19">
        <v>20645</v>
      </c>
      <c r="D19" t="str">
        <f>VLOOKUP(C19,'Project Status'!C:H,6,FALSE)</f>
        <v>BENSON OLD CENTRAL</v>
      </c>
      <c r="E19" t="str">
        <f>VLOOKUP(C19,'Project Status'!C:I,7,FALSE)</f>
        <v>Benson Old Central - Replace Soffit and Doors</v>
      </c>
      <c r="F19" t="s">
        <v>181</v>
      </c>
      <c r="G19" t="str">
        <f>VLOOKUP(C19,'Project Status'!C:K,9,FALSE)</f>
        <v>Ben Bedock</v>
      </c>
      <c r="H19" s="21">
        <f>VLOOKUP(C19,'Project Status'!C:Q,15,FALSE)</f>
        <v>125875</v>
      </c>
      <c r="J19" s="176">
        <f t="shared" si="0"/>
        <v>125875</v>
      </c>
      <c r="K19" s="214"/>
      <c r="L19" s="199"/>
    </row>
    <row r="20" spans="1:12" x14ac:dyDescent="0.4">
      <c r="A20" s="215"/>
      <c r="B20" s="109">
        <v>18</v>
      </c>
      <c r="C20">
        <v>20667</v>
      </c>
      <c r="D20" t="str">
        <f>VLOOKUP(C20,'Project Status'!C:H,6,FALSE)</f>
        <v>1025 16TH AVE S</v>
      </c>
      <c r="E20" t="str">
        <f>VLOOKUP(C20,'Project Status'!C:I,7,FALSE)</f>
        <v>1025 16th Avenue - Mechanical and Electrical Upgrades</v>
      </c>
      <c r="F20" t="s">
        <v>100</v>
      </c>
      <c r="G20" t="str">
        <f>VLOOKUP(C20,'Project Status'!C:K,9,FALSE)</f>
        <v>Sean Rewers</v>
      </c>
      <c r="H20" s="21">
        <f>VLOOKUP(C20,'Project Status'!C:Q,15,FALSE)</f>
        <v>146500</v>
      </c>
      <c r="J20" s="176">
        <f t="shared" si="0"/>
        <v>146500</v>
      </c>
      <c r="K20" s="214"/>
      <c r="L20" s="199"/>
    </row>
    <row r="21" spans="1:12" x14ac:dyDescent="0.4">
      <c r="A21" s="215"/>
      <c r="B21" s="109">
        <v>19</v>
      </c>
      <c r="C21">
        <v>20668</v>
      </c>
      <c r="D21" t="str">
        <f>VLOOKUP(C21,'Project Status'!C:H,6,FALSE)</f>
        <v>KECK FREE ELECTRON LASER CTR</v>
      </c>
      <c r="E21" t="str">
        <f>VLOOKUP(C21,'Project Status'!C:I,7,FALSE)</f>
        <v>Keck FEL - Mechanical Upgrades</v>
      </c>
      <c r="F21" t="s">
        <v>100</v>
      </c>
      <c r="G21" t="str">
        <f>VLOOKUP(C21,'Project Status'!C:K,9,FALSE)</f>
        <v>Sean Rewers</v>
      </c>
      <c r="H21" s="21">
        <f>VLOOKUP(C21,'Project Status'!C:Q,15,FALSE)</f>
        <v>206500</v>
      </c>
      <c r="J21" s="176">
        <f t="shared" si="0"/>
        <v>206500</v>
      </c>
      <c r="K21" s="214"/>
      <c r="L21" s="199"/>
    </row>
    <row r="22" spans="1:12" x14ac:dyDescent="0.4">
      <c r="A22" s="215"/>
      <c r="B22" s="109">
        <v>20</v>
      </c>
      <c r="C22">
        <v>20698</v>
      </c>
      <c r="D22" t="str">
        <f>VLOOKUP(C22,'Project Status'!C:H,6,FALSE)</f>
        <v>WILSON HALL</v>
      </c>
      <c r="E22" t="str">
        <f>VLOOKUP(C22,'Project Status'!C:I,7,FALSE)</f>
        <v>Wilson Hall - Fire Alarm Replacement</v>
      </c>
      <c r="F22" t="s">
        <v>100</v>
      </c>
      <c r="G22" t="str">
        <f>VLOOKUP(C22,'Project Status'!C:K,9,FALSE)</f>
        <v>Sean Rewers</v>
      </c>
      <c r="H22" s="21">
        <f>VLOOKUP(C22,'Project Status'!C:Q,15,FALSE)</f>
        <v>29250</v>
      </c>
      <c r="J22" s="176">
        <f t="shared" si="0"/>
        <v>29250</v>
      </c>
      <c r="K22" s="214"/>
      <c r="L22" s="199"/>
    </row>
    <row r="23" spans="1:12" x14ac:dyDescent="0.4">
      <c r="A23" s="215"/>
      <c r="B23" s="109">
        <v>21</v>
      </c>
      <c r="C23">
        <v>20700</v>
      </c>
      <c r="D23" t="str">
        <f>VLOOKUP(C23,'Project Status'!C:H,6,FALSE)</f>
        <v>SC CHEMISTRY</v>
      </c>
      <c r="E23" t="str">
        <f>VLOOKUP(C23,'Project Status'!C:I,7,FALSE)</f>
        <v>SC7 Chemistry - SG-1 Removal and Connection to Central Plant Steam</v>
      </c>
      <c r="F23" t="s">
        <v>101</v>
      </c>
      <c r="G23" t="str">
        <f>VLOOKUP(C23,'Project Status'!C:K,9,FALSE)</f>
        <v>Sean Rewers</v>
      </c>
      <c r="H23" s="21">
        <f>VLOOKUP(C23,'Project Status'!C:Q,15,FALSE)</f>
        <v>79623</v>
      </c>
      <c r="J23" s="176">
        <f t="shared" si="0"/>
        <v>79623</v>
      </c>
      <c r="K23" s="214"/>
      <c r="L23" s="199"/>
    </row>
    <row r="24" spans="1:12" x14ac:dyDescent="0.4">
      <c r="A24" s="215"/>
      <c r="B24" s="109">
        <v>22</v>
      </c>
      <c r="C24">
        <v>20701</v>
      </c>
      <c r="D24" t="str">
        <f>VLOOKUP(C24,'Project Status'!C:H,6,FALSE)</f>
        <v>SC SCIENCE &amp; ENGINEERING</v>
      </c>
      <c r="E24" t="str">
        <f>VLOOKUP(C24,'Project Status'!C:I,7,FALSE)</f>
        <v>SC5 - Chemical Discharge Replacement</v>
      </c>
      <c r="F24" t="s">
        <v>181</v>
      </c>
      <c r="G24" t="str">
        <f>VLOOKUP(C24,'Project Status'!C:K,9,FALSE)</f>
        <v>Sean Rewers</v>
      </c>
      <c r="H24" s="21">
        <f>VLOOKUP(C24,'Project Status'!C:Q,15,FALSE)</f>
        <v>499093</v>
      </c>
      <c r="J24" s="176">
        <f t="shared" si="0"/>
        <v>499093</v>
      </c>
      <c r="K24" s="214"/>
      <c r="L24" s="199"/>
    </row>
    <row r="25" spans="1:12" x14ac:dyDescent="0.4">
      <c r="A25" s="215"/>
      <c r="B25" s="109">
        <v>23</v>
      </c>
      <c r="C25">
        <v>20702</v>
      </c>
      <c r="D25" t="str">
        <f>VLOOKUP(C25,'Project Status'!C:H,6,FALSE)</f>
        <v>WYATT CENTER</v>
      </c>
      <c r="E25" t="str">
        <f>VLOOKUP(C25,'Project Status'!C:I,7,FALSE)</f>
        <v>Wyatt Center - Elevator #2 Modernization</v>
      </c>
      <c r="F25" t="s">
        <v>101</v>
      </c>
      <c r="G25" t="str">
        <f>VLOOKUP(C25,'Project Status'!C:K,9,FALSE)</f>
        <v>Ben Bedock</v>
      </c>
      <c r="H25" s="21">
        <f>VLOOKUP(C25,'Project Status'!C:Q,15,FALSE)</f>
        <v>239341</v>
      </c>
      <c r="J25" s="176">
        <f t="shared" si="0"/>
        <v>239341</v>
      </c>
      <c r="K25" s="214"/>
      <c r="L25" s="199"/>
    </row>
    <row r="26" spans="1:12" x14ac:dyDescent="0.4">
      <c r="A26" s="215"/>
      <c r="B26" s="109">
        <v>24</v>
      </c>
      <c r="C26">
        <v>20718</v>
      </c>
      <c r="D26" t="str">
        <f>VLOOKUP(C26,'Project Status'!C:H,6,FALSE)</f>
        <v>BUTTRICK HALL</v>
      </c>
      <c r="E26" t="str">
        <f>VLOOKUP(C26,'Project Status'!C:I,7,FALSE)</f>
        <v>Buttrick Hall - 3rd Floor Inequality Renovations</v>
      </c>
      <c r="F26" t="s">
        <v>101</v>
      </c>
      <c r="G26" t="str">
        <f>VLOOKUP(C26,'Project Status'!C:K,9,FALSE)</f>
        <v>Erin Fry</v>
      </c>
      <c r="H26" s="21">
        <f>VLOOKUP(C26,'Project Status'!C:Q,15,FALSE)</f>
        <v>96166</v>
      </c>
      <c r="J26" s="176">
        <f t="shared" si="0"/>
        <v>96166</v>
      </c>
      <c r="K26" s="214"/>
      <c r="L26" s="199"/>
    </row>
    <row r="27" spans="1:12" x14ac:dyDescent="0.4">
      <c r="A27" s="215"/>
      <c r="B27" s="109">
        <v>25</v>
      </c>
      <c r="C27">
        <v>20723</v>
      </c>
      <c r="D27" t="str">
        <f>VLOOKUP(C27,'Project Status'!C:H,6,FALSE)</f>
        <v>MRB III BIO/SCI</v>
      </c>
      <c r="E27" t="str">
        <f>VLOOKUP(C27,'Project Status'!C:I,7,FALSE)</f>
        <v>MRB III - 9th Floor (with 4 ,5 &amp; 8) - Replace Controls (Phase 3)</v>
      </c>
      <c r="F27" t="s">
        <v>109</v>
      </c>
      <c r="G27" t="str">
        <f>VLOOKUP(C27,'Project Status'!C:K,9,FALSE)</f>
        <v>Hans Mooy</v>
      </c>
      <c r="H27" s="21">
        <f>VLOOKUP(C27,'Project Status'!C:Q,15,FALSE)</f>
        <v>160500</v>
      </c>
      <c r="J27" s="176">
        <f t="shared" si="0"/>
        <v>160500</v>
      </c>
      <c r="K27" s="214"/>
      <c r="L27" s="199"/>
    </row>
    <row r="28" spans="1:12" x14ac:dyDescent="0.4">
      <c r="A28" s="215"/>
      <c r="B28" s="109">
        <v>26</v>
      </c>
      <c r="C28">
        <v>20724</v>
      </c>
      <c r="D28" t="str">
        <f>VLOOKUP(C28,'Project Status'!C:H,6,FALSE)</f>
        <v>BLAIR SCHOOL OF MUSIC</v>
      </c>
      <c r="E28" t="str">
        <f>VLOOKUP(C28,'Project Status'!C:I,7,FALSE)</f>
        <v>Blair School of Music - Steam Line</v>
      </c>
      <c r="F28" t="s">
        <v>100</v>
      </c>
      <c r="G28" t="str">
        <f>VLOOKUP(C28,'Project Status'!C:K,9,FALSE)</f>
        <v>Hans Mooy</v>
      </c>
      <c r="H28" s="21">
        <f>VLOOKUP(C28,'Project Status'!C:Q,15,FALSE)</f>
        <v>23400</v>
      </c>
      <c r="J28" s="176">
        <f t="shared" si="0"/>
        <v>23400</v>
      </c>
      <c r="K28" s="214"/>
      <c r="L28" s="199"/>
    </row>
    <row r="29" spans="1:12" x14ac:dyDescent="0.4">
      <c r="A29" s="215"/>
      <c r="B29" s="109">
        <v>27</v>
      </c>
      <c r="C29">
        <v>20735</v>
      </c>
      <c r="D29" t="str">
        <f>VLOOKUP(C29,'Project Status'!C:H,6,FALSE)</f>
        <v>OWEN GRAD MGMT</v>
      </c>
      <c r="E29" t="str">
        <f>VLOOKUP(C29,'Project Status'!C:I,7,FALSE)</f>
        <v>Owen - Roof Replacement (Third Level)</v>
      </c>
      <c r="F29" t="s">
        <v>101</v>
      </c>
      <c r="G29" t="str">
        <f>VLOOKUP(C29,'Project Status'!C:K,9,FALSE)</f>
        <v>Ben Bedock</v>
      </c>
      <c r="H29" s="21">
        <f>VLOOKUP(C29,'Project Status'!C:Q,15,FALSE)</f>
        <v>300000</v>
      </c>
      <c r="J29" s="176">
        <f t="shared" si="0"/>
        <v>300000</v>
      </c>
      <c r="K29" s="214"/>
      <c r="L29" s="199"/>
    </row>
    <row r="30" spans="1:12" x14ac:dyDescent="0.4">
      <c r="A30" s="215"/>
      <c r="B30" s="109">
        <v>28</v>
      </c>
      <c r="C30">
        <v>20771</v>
      </c>
      <c r="D30" t="str">
        <f>VLOOKUP(C30,'Project Status'!C:H,6,FALSE)</f>
        <v>SC CHEMISTRY</v>
      </c>
      <c r="E30" t="str">
        <f>VLOOKUP(C30,'Project Status'!C:I,7,FALSE)</f>
        <v>SC4 - Interstitial Space HVAC Modifications</v>
      </c>
      <c r="F30" t="s">
        <v>101</v>
      </c>
      <c r="G30" t="str">
        <f>VLOOKUP(C30,'Project Status'!C:K,9,FALSE)</f>
        <v>Sean Rewers</v>
      </c>
      <c r="H30" s="21">
        <f>VLOOKUP(C30,'Project Status'!C:Q,15,FALSE)</f>
        <v>24997</v>
      </c>
      <c r="J30" s="176">
        <f t="shared" si="0"/>
        <v>24997</v>
      </c>
      <c r="K30" s="214"/>
      <c r="L30" s="199"/>
    </row>
    <row r="31" spans="1:12" x14ac:dyDescent="0.4">
      <c r="A31" s="215"/>
      <c r="B31" s="109">
        <v>29</v>
      </c>
      <c r="C31">
        <v>20792</v>
      </c>
      <c r="D31" t="str">
        <f>VLOOKUP(C31,'Project Status'!C:H,6,FALSE)</f>
        <v>LAW SCHOOL</v>
      </c>
      <c r="E31" t="str">
        <f>VLOOKUP(C31,'Project Status'!C:I,7,FALSE)</f>
        <v>Law School - Sections 1, 2, &amp; 3  Roof Replacement</v>
      </c>
      <c r="F31" t="s">
        <v>181</v>
      </c>
      <c r="G31" t="str">
        <f>VLOOKUP(C31,'Project Status'!C:K,9,FALSE)</f>
        <v>Ben Bedock</v>
      </c>
      <c r="H31" s="21">
        <f>VLOOKUP(C31,'Project Status'!C:Q,15,FALSE)</f>
        <v>483440</v>
      </c>
      <c r="J31" s="176">
        <f t="shared" si="0"/>
        <v>483440</v>
      </c>
      <c r="K31" s="214"/>
      <c r="L31" s="199"/>
    </row>
    <row r="32" spans="1:12" x14ac:dyDescent="0.4">
      <c r="H32" s="179">
        <f t="shared" ref="H32:I32" si="1">SUM(H3:H31)</f>
        <v>8797286.2599999998</v>
      </c>
      <c r="I32" s="179">
        <f t="shared" si="1"/>
        <v>0</v>
      </c>
      <c r="J32" s="179">
        <f>SUM(J3:J31)</f>
        <v>8797286.2599999998</v>
      </c>
      <c r="K32" s="214"/>
      <c r="L32" s="179">
        <f>K3-J32</f>
        <v>567212.74000000022</v>
      </c>
    </row>
    <row r="34" spans="1:14" x14ac:dyDescent="0.4">
      <c r="A34" s="216" t="s">
        <v>304</v>
      </c>
      <c r="B34" s="180"/>
      <c r="C34" s="180" t="s">
        <v>127</v>
      </c>
      <c r="D34" s="180" t="s">
        <v>114</v>
      </c>
      <c r="E34" s="180" t="s">
        <v>87</v>
      </c>
      <c r="F34" s="180" t="s">
        <v>130</v>
      </c>
      <c r="G34" s="180" t="s">
        <v>131</v>
      </c>
      <c r="H34" s="181" t="s">
        <v>263</v>
      </c>
      <c r="I34" s="181" t="s">
        <v>303</v>
      </c>
      <c r="J34" s="193" t="s">
        <v>302</v>
      </c>
      <c r="K34" s="189" t="s">
        <v>305</v>
      </c>
      <c r="L34" s="192" t="s">
        <v>264</v>
      </c>
    </row>
    <row r="35" spans="1:14" ht="14.7" customHeight="1" x14ac:dyDescent="0.4">
      <c r="A35" s="216"/>
      <c r="B35" s="109">
        <v>1</v>
      </c>
      <c r="C35">
        <v>10146</v>
      </c>
      <c r="D35" t="str">
        <f>VLOOKUP(C35,'Project Status'!C:H,6,FALSE)</f>
        <v>Godchaux Hall</v>
      </c>
      <c r="E35" t="str">
        <f>VLOOKUP(C35,'Project Status'!C:I,7,FALSE)</f>
        <v>Godchaux Hall - HVAC Upgrade</v>
      </c>
      <c r="F35" t="str">
        <f>VLOOKUP(C35,'Project Status'!C:J,8,FALSE)</f>
        <v>Design</v>
      </c>
      <c r="G35" t="str">
        <f>VLOOKUP(C35,'Project Status'!C:K,9,FALSE)</f>
        <v>Sean Rewers</v>
      </c>
      <c r="H35" s="21">
        <f>VLOOKUP(C35,'Project Status'!C:R,16,FALSE)</f>
        <v>0</v>
      </c>
      <c r="I35" s="183" t="str">
        <f>VLOOKUP(C35,'Project Status'!C:S,17,FALSE)</f>
        <v>TBD</v>
      </c>
      <c r="J35" s="184" t="str">
        <f t="shared" ref="J35:J39" si="2">IF(I35="TBD",I35,SUM(H35:I35))</f>
        <v>TBD</v>
      </c>
      <c r="K35" s="218">
        <f>Contributions!G14</f>
        <v>11029283.289999999</v>
      </c>
      <c r="L35" s="198"/>
    </row>
    <row r="36" spans="1:14" x14ac:dyDescent="0.4">
      <c r="A36" s="216"/>
      <c r="B36" s="109">
        <v>2</v>
      </c>
      <c r="C36">
        <v>20431</v>
      </c>
      <c r="D36" t="str">
        <f>VLOOKUP(C36,'Project Status'!C:H,6,FALSE)</f>
        <v>DIVINITY</v>
      </c>
      <c r="E36" t="str">
        <f>VLOOKUP(C36,'Project Status'!C:I,7,FALSE)</f>
        <v>Divinity - AHU 5N (5 &amp; 6) Replacement</v>
      </c>
      <c r="F36" t="str">
        <f>VLOOKUP(C36,'Project Status'!C:J,8,FALSE)</f>
        <v>Construction</v>
      </c>
      <c r="G36" t="str">
        <f>VLOOKUP(C36,'Project Status'!C:K,9,FALSE)</f>
        <v>Hans Mooy</v>
      </c>
      <c r="H36" s="212">
        <f>VLOOKUP(C36,'Project Status'!C:R,16,FALSE)</f>
        <v>0</v>
      </c>
      <c r="I36" s="183">
        <f>VLOOKUP(C36,'Project Status'!C:S,17,FALSE)</f>
        <v>3730137.5</v>
      </c>
      <c r="J36" s="184">
        <f t="shared" si="2"/>
        <v>3730137.5</v>
      </c>
      <c r="K36" s="218"/>
      <c r="L36" s="198"/>
    </row>
    <row r="37" spans="1:14" x14ac:dyDescent="0.4">
      <c r="A37" s="216"/>
      <c r="B37" s="109">
        <v>3</v>
      </c>
      <c r="C37">
        <v>20478</v>
      </c>
      <c r="D37" t="str">
        <f>VLOOKUP(C37,'Project Status'!C:H,6,FALSE)</f>
        <v>BRYAN BLDG</v>
      </c>
      <c r="E37" t="str">
        <f>VLOOKUP(C37,'Project Status'!C:I,7,FALSE)</f>
        <v>Bryan Building - Swing Space Renovation - A&amp;S Planning</v>
      </c>
      <c r="F37" t="str">
        <f>VLOOKUP(C37,'Project Status'!C:J,8,FALSE)</f>
        <v>Construction</v>
      </c>
      <c r="G37" t="str">
        <f>VLOOKUP(C37,'Project Status'!C:K,9,FALSE)</f>
        <v>Cathy Bartlett</v>
      </c>
      <c r="H37" s="212">
        <f>VLOOKUP(C37,'Project Status'!C:R,16,FALSE)</f>
        <v>1028900</v>
      </c>
      <c r="I37" s="183">
        <f>VLOOKUP(C37,'Project Status'!C:S,17,FALSE)</f>
        <v>0</v>
      </c>
      <c r="J37" s="184">
        <f t="shared" si="2"/>
        <v>1028900</v>
      </c>
      <c r="K37" s="218"/>
      <c r="L37" s="198"/>
    </row>
    <row r="38" spans="1:14" x14ac:dyDescent="0.4">
      <c r="A38" s="216"/>
      <c r="B38" s="109">
        <v>4</v>
      </c>
      <c r="C38">
        <v>20667</v>
      </c>
      <c r="D38" t="str">
        <f>VLOOKUP(C38,'Project Status'!C:H,6,FALSE)</f>
        <v>1025 16TH AVE S</v>
      </c>
      <c r="E38" s="3" t="str">
        <f>VLOOKUP(C38,'Project Status'!C:I,7,FALSE)</f>
        <v>1025 16th Avenue - Mechanical and Electrical Upgrades</v>
      </c>
      <c r="F38" t="str">
        <f>VLOOKUP(C38,'Project Status'!C:J,8,FALSE)</f>
        <v>Design</v>
      </c>
      <c r="G38" t="str">
        <f>VLOOKUP(C38,'Project Status'!C:K,9,FALSE)</f>
        <v>Sean Rewers</v>
      </c>
      <c r="H38" s="212">
        <f>VLOOKUP(C38,'Project Status'!C:R,16,FALSE)</f>
        <v>0</v>
      </c>
      <c r="I38" s="183">
        <f>VLOOKUP(C38,'Project Status'!C:S,17,FALSE)</f>
        <v>35000</v>
      </c>
      <c r="J38" s="184">
        <f>IF(I38="TBD",I38,SUM(H38:I38))</f>
        <v>35000</v>
      </c>
      <c r="K38" s="218"/>
      <c r="L38" s="198"/>
    </row>
    <row r="39" spans="1:14" x14ac:dyDescent="0.4">
      <c r="A39" s="216"/>
      <c r="B39" s="109">
        <v>5</v>
      </c>
      <c r="C39">
        <v>20668</v>
      </c>
      <c r="D39" t="str">
        <f>VLOOKUP(C39,'Project Status'!C:H,6,FALSE)</f>
        <v>KECK FREE ELECTRON LASER CTR</v>
      </c>
      <c r="E39" s="3" t="str">
        <f>VLOOKUP(C39,'Project Status'!C:I,7,FALSE)</f>
        <v>Keck FEL - Mechanical Upgrades</v>
      </c>
      <c r="F39" t="str">
        <f>VLOOKUP(C39,'Project Status'!C:J,8,FALSE)</f>
        <v>Design</v>
      </c>
      <c r="G39" t="str">
        <f>VLOOKUP(C39,'Project Status'!C:K,9,FALSE)</f>
        <v>Sean Rewers</v>
      </c>
      <c r="H39" s="212">
        <f>VLOOKUP(C39,'Project Status'!C:R,16,FALSE)</f>
        <v>0</v>
      </c>
      <c r="I39" s="183">
        <f>VLOOKUP(C39,'Project Status'!C:S,17,FALSE)</f>
        <v>35000</v>
      </c>
      <c r="J39" s="184">
        <f t="shared" si="2"/>
        <v>35000</v>
      </c>
      <c r="K39" s="218"/>
      <c r="L39" s="198"/>
    </row>
    <row r="40" spans="1:14" x14ac:dyDescent="0.4">
      <c r="A40" s="216"/>
      <c r="B40" s="109">
        <v>6</v>
      </c>
      <c r="C40">
        <v>20698</v>
      </c>
      <c r="D40" t="str">
        <f>VLOOKUP(C40,'Project Status'!C:H,6,FALSE)</f>
        <v>WILSON HALL</v>
      </c>
      <c r="E40" s="3" t="str">
        <f>VLOOKUP(C40,'Project Status'!C:I,7,FALSE)</f>
        <v>Wilson Hall - Fire Alarm Replacement</v>
      </c>
      <c r="F40" t="str">
        <f>VLOOKUP(C40,'Project Status'!C:J,8,FALSE)</f>
        <v>Design</v>
      </c>
      <c r="G40" t="str">
        <f>VLOOKUP(C40,'Project Status'!C:K,9,FALSE)</f>
        <v>Sean Rewers</v>
      </c>
      <c r="H40" s="212">
        <f>VLOOKUP(C40,'Project Status'!C:R,16,FALSE)</f>
        <v>0</v>
      </c>
      <c r="I40" s="183" t="str">
        <f>VLOOKUP(C40,'Project Status'!C:S,17,FALSE)</f>
        <v>TBD</v>
      </c>
      <c r="J40" s="184" t="str">
        <f>IF(I40="TBD",I40,SUM(H40:I40))</f>
        <v>TBD</v>
      </c>
      <c r="K40" s="218"/>
      <c r="L40" s="198"/>
    </row>
    <row r="41" spans="1:14" x14ac:dyDescent="0.4">
      <c r="A41" s="216"/>
      <c r="B41" s="109">
        <v>7</v>
      </c>
      <c r="C41">
        <v>20723</v>
      </c>
      <c r="D41" t="str">
        <f>VLOOKUP(C41,'Project Status'!C:H,6,FALSE)</f>
        <v>MRB III BIO/SCI</v>
      </c>
      <c r="E41" t="str">
        <f>VLOOKUP(C41,'Project Status'!C:I,7,FALSE)</f>
        <v>MRB III - 9th Floor (with 4 ,5 &amp; 8) - Replace Controls (Phase 3)</v>
      </c>
      <c r="F41" t="str">
        <f>VLOOKUP(C41,'Project Status'!C:J,8,FALSE)</f>
        <v>Construction</v>
      </c>
      <c r="G41" t="str">
        <f>VLOOKUP(C41,'Project Status'!C:K,9,FALSE)</f>
        <v>Hans Mooy</v>
      </c>
      <c r="H41" s="212">
        <f>VLOOKUP(C41,'Project Status'!C:R,16,FALSE)</f>
        <v>0</v>
      </c>
      <c r="I41" s="183">
        <f>VLOOKUP(C41,'Project Status'!C:S,17,FALSE)</f>
        <v>1339500</v>
      </c>
      <c r="J41" s="184">
        <f t="shared" ref="J41:J45" si="3">IF(I41="TBD",I41,SUM(H41:I41))</f>
        <v>1339500</v>
      </c>
      <c r="K41" s="218"/>
      <c r="L41" s="198"/>
    </row>
    <row r="42" spans="1:14" x14ac:dyDescent="0.4">
      <c r="A42" s="216"/>
      <c r="B42" s="109">
        <v>8</v>
      </c>
      <c r="C42">
        <v>20724</v>
      </c>
      <c r="D42" t="str">
        <f>VLOOKUP(C42,'Project Status'!C:H,6,FALSE)</f>
        <v>BLAIR SCHOOL OF MUSIC</v>
      </c>
      <c r="E42" t="str">
        <f>VLOOKUP(C42,'Project Status'!C:I,7,FALSE)</f>
        <v>Blair School of Music - Steam Line</v>
      </c>
      <c r="F42" t="str">
        <f>VLOOKUP(C42,'Project Status'!C:J,8,FALSE)</f>
        <v>Design</v>
      </c>
      <c r="G42" t="str">
        <f>VLOOKUP(C42,'Project Status'!C:K,9,FALSE)</f>
        <v>Hans Mooy</v>
      </c>
      <c r="H42" s="212">
        <f>VLOOKUP(C42,'Project Status'!C:R,16,FALSE)</f>
        <v>0</v>
      </c>
      <c r="I42" s="183">
        <f>VLOOKUP(C42,'Project Status'!C:S,17,FALSE)</f>
        <v>1476600</v>
      </c>
      <c r="J42" s="184">
        <f t="shared" si="3"/>
        <v>1476600</v>
      </c>
      <c r="K42" s="218"/>
      <c r="L42" s="198"/>
    </row>
    <row r="43" spans="1:14" x14ac:dyDescent="0.4">
      <c r="A43" s="216"/>
      <c r="B43" s="109">
        <v>9</v>
      </c>
      <c r="C43">
        <v>20767</v>
      </c>
      <c r="D43" t="str">
        <f>VLOOKUP(C43,'Project Status'!C:H,6,FALSE)</f>
        <v>SIX MAGNOLIA CIRCLE</v>
      </c>
      <c r="E43" t="str">
        <f>VLOOKUP(C43,'Project Status'!C:I,7,FALSE)</f>
        <v>Six Magnolia Circle - Foundation Repairs</v>
      </c>
      <c r="F43" t="str">
        <f>VLOOKUP(C43,'Project Status'!C:J,8,FALSE)</f>
        <v>Design</v>
      </c>
      <c r="G43" t="str">
        <f>VLOOKUP(C43,'Project Status'!C:K,9,FALSE)</f>
        <v>Jay Surprenant</v>
      </c>
      <c r="H43" s="212">
        <f>VLOOKUP(C43,'Project Status'!C:R,16,FALSE)</f>
        <v>0</v>
      </c>
      <c r="I43" s="183">
        <f>VLOOKUP(C43,'Project Status'!C:S,17,FALSE)</f>
        <v>35000</v>
      </c>
      <c r="J43" s="184">
        <f t="shared" si="3"/>
        <v>35000</v>
      </c>
      <c r="K43" s="218"/>
      <c r="L43" s="198"/>
      <c r="N43" s="176"/>
    </row>
    <row r="44" spans="1:14" x14ac:dyDescent="0.4">
      <c r="A44" s="216"/>
      <c r="B44" s="109">
        <v>10</v>
      </c>
      <c r="C44">
        <v>20772</v>
      </c>
      <c r="D44" t="str">
        <f>VLOOKUP(C44,'Project Status'!C:H,6,FALSE)</f>
        <v>OWEN GRAD MGMT</v>
      </c>
      <c r="E44" t="str">
        <f>VLOOKUP(C44,'Project Status'!C:I,7,FALSE)</f>
        <v>Owen - Roof Replacement (Slate Portion)</v>
      </c>
      <c r="F44" t="str">
        <f>VLOOKUP(C44,'Project Status'!C:J,8,FALSE)</f>
        <v>Programming or Planning</v>
      </c>
      <c r="G44" t="str">
        <f>VLOOKUP(C44,'Project Status'!C:K,9,FALSE)</f>
        <v>Ben Bedock</v>
      </c>
      <c r="H44" s="212">
        <f>VLOOKUP(C44,'Project Status'!C:R,16,FALSE)</f>
        <v>0</v>
      </c>
      <c r="I44" s="183" t="str">
        <f>VLOOKUP(C44,'Project Status'!C:S,17,FALSE)</f>
        <v>TBD</v>
      </c>
      <c r="J44" s="184" t="str">
        <f t="shared" si="3"/>
        <v>TBD</v>
      </c>
      <c r="K44" s="218"/>
      <c r="L44" s="198"/>
    </row>
    <row r="45" spans="1:14" x14ac:dyDescent="0.4">
      <c r="A45" s="216"/>
      <c r="B45" s="109">
        <v>11</v>
      </c>
      <c r="C45">
        <v>20831</v>
      </c>
      <c r="D45" t="str">
        <f>VLOOKUP(C45,'Project Status'!C:H,6,FALSE)</f>
        <v>SC PHYSICS &amp; ASTRONOMY</v>
      </c>
      <c r="E45" t="str">
        <f>VLOOKUP(C45,'Project Status'!C:I,7,FALSE)</f>
        <v>SC6 - HVAC Upgrades - Feasibility Study</v>
      </c>
      <c r="F45" t="str">
        <f>VLOOKUP(C45,'Project Status'!C:J,8,FALSE)</f>
        <v>Not Started</v>
      </c>
      <c r="G45" t="str">
        <f>VLOOKUP(C45,'Project Status'!C:K,9,FALSE)</f>
        <v>Sean Rewers</v>
      </c>
      <c r="H45" s="212">
        <f>VLOOKUP(C45,'Project Status'!C:R,16,FALSE)</f>
        <v>0</v>
      </c>
      <c r="I45" s="183">
        <f>VLOOKUP(C45,'Project Status'!C:S,17,FALSE)</f>
        <v>0</v>
      </c>
      <c r="J45" s="184">
        <f t="shared" si="3"/>
        <v>0</v>
      </c>
      <c r="K45" s="218"/>
      <c r="L45" s="198"/>
    </row>
    <row r="46" spans="1:14" x14ac:dyDescent="0.4">
      <c r="A46" s="216"/>
      <c r="B46" s="109">
        <v>12</v>
      </c>
      <c r="C46">
        <v>20832</v>
      </c>
      <c r="D46" t="str">
        <f>VLOOKUP(C46,'Project Status'!C:H,6,FALSE)</f>
        <v>WILSON HALL</v>
      </c>
      <c r="E46" t="str">
        <f>VLOOKUP(C46,'Project Status'!C:I,7,FALSE)</f>
        <v>Wilson Hall - HVAC Replacement</v>
      </c>
      <c r="F46" t="str">
        <f>VLOOKUP(C46,'Project Status'!C:J,8,FALSE)</f>
        <v>Design</v>
      </c>
      <c r="G46" t="str">
        <f>VLOOKUP(C46,'Project Status'!C:K,9,FALSE)</f>
        <v>Sean Rewers</v>
      </c>
      <c r="H46" s="212">
        <f>VLOOKUP(C46,'Project Status'!C:R,16,FALSE)</f>
        <v>0</v>
      </c>
      <c r="I46" s="183">
        <f>VLOOKUP(C46,'Project Status'!C:S,17,FALSE)</f>
        <v>0</v>
      </c>
      <c r="J46" s="184">
        <f t="shared" ref="J46:J48" si="4">IF(I46="TBD",I46,SUM(H46:I46))</f>
        <v>0</v>
      </c>
      <c r="K46" s="218"/>
      <c r="L46" s="198"/>
    </row>
    <row r="47" spans="1:14" x14ac:dyDescent="0.4">
      <c r="A47" s="216"/>
      <c r="B47" s="109">
        <v>13</v>
      </c>
      <c r="C47">
        <v>20833</v>
      </c>
      <c r="D47" t="str">
        <f>VLOOKUP(C47,'Project Status'!C:H,6,FALSE)</f>
        <v>SC SCIENCE &amp; ENGINEERING</v>
      </c>
      <c r="E47" t="str">
        <f>VLOOKUP(C47,'Project Status'!C:I,7,FALSE)</f>
        <v>SC5 - HVAC Replacement</v>
      </c>
      <c r="F47" t="str">
        <f>VLOOKUP(C47,'Project Status'!C:J,8,FALSE)</f>
        <v>Not Started</v>
      </c>
      <c r="G47" t="str">
        <f>VLOOKUP(C47,'Project Status'!C:K,9,FALSE)</f>
        <v>Sean Rewers</v>
      </c>
      <c r="H47" s="212">
        <f>VLOOKUP(C47,'Project Status'!C:R,16,FALSE)</f>
        <v>0</v>
      </c>
      <c r="I47" s="183">
        <f>VLOOKUP(C47,'Project Status'!C:S,17,FALSE)</f>
        <v>0</v>
      </c>
      <c r="J47" s="184">
        <f t="shared" si="4"/>
        <v>0</v>
      </c>
      <c r="K47" s="218"/>
      <c r="L47" s="198"/>
    </row>
    <row r="48" spans="1:14" x14ac:dyDescent="0.4">
      <c r="A48" s="216"/>
      <c r="B48" s="109">
        <v>14</v>
      </c>
      <c r="C48">
        <v>20834</v>
      </c>
      <c r="D48" t="str">
        <f>VLOOKUP(C48,'Project Status'!C:H,6,FALSE)</f>
        <v>WYATT CENTER</v>
      </c>
      <c r="E48" t="str">
        <f>VLOOKUP(C48,'Project Status'!C:I,7,FALSE)</f>
        <v>Wyatt Center - HVAC Upgrades - Engineering Study</v>
      </c>
      <c r="F48" t="str">
        <f>VLOOKUP(C48,'Project Status'!C:J,8,FALSE)</f>
        <v>Design</v>
      </c>
      <c r="G48" t="str">
        <f>VLOOKUP(C48,'Project Status'!C:K,9,FALSE)</f>
        <v>Sean Rewers</v>
      </c>
      <c r="H48" s="212">
        <f>VLOOKUP(C48,'Project Status'!C:R,16,FALSE)</f>
        <v>0</v>
      </c>
      <c r="I48" s="183">
        <f>VLOOKUP(C48,'Project Status'!C:S,17,FALSE)</f>
        <v>0</v>
      </c>
      <c r="J48" s="184">
        <f t="shared" si="4"/>
        <v>0</v>
      </c>
      <c r="K48" s="218"/>
      <c r="L48" s="198"/>
    </row>
    <row r="49" spans="1:12" x14ac:dyDescent="0.4">
      <c r="A49" s="216"/>
      <c r="J49" s="176"/>
      <c r="K49" s="218"/>
      <c r="L49" s="198"/>
    </row>
    <row r="50" spans="1:12" x14ac:dyDescent="0.4">
      <c r="A50" s="216"/>
      <c r="J50" s="176"/>
      <c r="K50" s="218"/>
      <c r="L50" s="198"/>
    </row>
    <row r="51" spans="1:12" x14ac:dyDescent="0.4">
      <c r="A51" s="216"/>
      <c r="J51" s="176"/>
      <c r="K51" s="218"/>
      <c r="L51" s="198"/>
    </row>
    <row r="52" spans="1:12" x14ac:dyDescent="0.4">
      <c r="A52" s="216"/>
      <c r="J52" s="176"/>
      <c r="K52" s="218"/>
      <c r="L52" s="198"/>
    </row>
    <row r="53" spans="1:12" x14ac:dyDescent="0.4">
      <c r="A53" s="216"/>
      <c r="J53" s="176"/>
      <c r="K53" s="218"/>
      <c r="L53" s="198"/>
    </row>
    <row r="54" spans="1:12" x14ac:dyDescent="0.4">
      <c r="A54" s="216"/>
      <c r="J54" s="176"/>
      <c r="K54" s="219" t="s">
        <v>326</v>
      </c>
      <c r="L54" s="198"/>
    </row>
    <row r="55" spans="1:12" x14ac:dyDescent="0.4">
      <c r="A55" s="216"/>
      <c r="J55" s="176"/>
      <c r="K55" s="219"/>
      <c r="L55" s="198"/>
    </row>
    <row r="56" spans="1:12" x14ac:dyDescent="0.4">
      <c r="A56" s="216"/>
      <c r="J56" s="176"/>
      <c r="K56" s="206">
        <f>L32</f>
        <v>567212.74000000022</v>
      </c>
      <c r="L56" s="198"/>
    </row>
    <row r="57" spans="1:12" x14ac:dyDescent="0.4">
      <c r="A57" s="216"/>
      <c r="J57" s="176"/>
      <c r="K57" s="206"/>
      <c r="L57" s="198"/>
    </row>
    <row r="58" spans="1:12" x14ac:dyDescent="0.4">
      <c r="A58" s="216"/>
      <c r="J58" s="176"/>
      <c r="K58" s="219" t="s">
        <v>327</v>
      </c>
      <c r="L58" s="198"/>
    </row>
    <row r="59" spans="1:12" x14ac:dyDescent="0.4">
      <c r="A59" s="216"/>
      <c r="J59" s="176"/>
      <c r="K59" s="219"/>
      <c r="L59" s="198"/>
    </row>
    <row r="60" spans="1:12" x14ac:dyDescent="0.4">
      <c r="H60" s="182">
        <f>SUM(H35:H59)</f>
        <v>1028900</v>
      </c>
      <c r="I60" s="182">
        <f>SUM(I35:I59)</f>
        <v>6651237.5</v>
      </c>
      <c r="J60" s="182">
        <f>SUM(J35:J59)</f>
        <v>7680137.5</v>
      </c>
      <c r="K60" s="206">
        <f>K35+K56</f>
        <v>11596496.029999999</v>
      </c>
      <c r="L60" s="182">
        <f>K60-J60</f>
        <v>3916358.5299999993</v>
      </c>
    </row>
    <row r="62" spans="1:12" x14ac:dyDescent="0.4">
      <c r="A62" s="217" t="s">
        <v>306</v>
      </c>
      <c r="B62" s="186"/>
      <c r="C62" s="186" t="s">
        <v>127</v>
      </c>
      <c r="D62" s="186" t="s">
        <v>114</v>
      </c>
      <c r="E62" s="186" t="s">
        <v>87</v>
      </c>
      <c r="F62" s="186" t="s">
        <v>130</v>
      </c>
      <c r="G62" s="186" t="s">
        <v>131</v>
      </c>
      <c r="H62" s="187" t="s">
        <v>263</v>
      </c>
      <c r="I62" s="187" t="s">
        <v>303</v>
      </c>
      <c r="J62" s="196" t="s">
        <v>302</v>
      </c>
      <c r="K62" s="190" t="s">
        <v>305</v>
      </c>
      <c r="L62" s="197" t="s">
        <v>264</v>
      </c>
    </row>
    <row r="63" spans="1:12" ht="14.7" customHeight="1" x14ac:dyDescent="0.4">
      <c r="A63" s="217"/>
      <c r="B63" s="109">
        <v>1</v>
      </c>
      <c r="C63">
        <v>10146</v>
      </c>
      <c r="D63" t="str">
        <f>VLOOKUP(C63,'Project Status'!C:H,6,FALSE)</f>
        <v>Godchaux Hall</v>
      </c>
      <c r="E63" t="str">
        <f>VLOOKUP(C63,'Project Status'!C:I,7,FALSE)</f>
        <v>Godchaux Hall - HVAC Upgrade</v>
      </c>
      <c r="F63" t="str">
        <f>VLOOKUP(C63,'Project Status'!C:J,8,FALSE)</f>
        <v>Design</v>
      </c>
      <c r="G63" t="str">
        <f>VLOOKUP(C63,'Project Status'!C:K,9,FALSE)</f>
        <v>Sean Rewers</v>
      </c>
      <c r="I63" s="183" t="str">
        <f>VLOOKUP(C63,'Project Status'!C:U,19,FALSE)</f>
        <v>TBD</v>
      </c>
      <c r="J63" s="184" t="str">
        <f>IF(I63="TBD",I63,SUM(H63:I63))</f>
        <v>TBD</v>
      </c>
      <c r="K63" s="221">
        <f>Contributions!G38</f>
        <v>0</v>
      </c>
      <c r="L63" s="200"/>
    </row>
    <row r="64" spans="1:12" x14ac:dyDescent="0.4">
      <c r="A64" s="217"/>
      <c r="B64" s="109">
        <v>2</v>
      </c>
      <c r="C64">
        <v>20489</v>
      </c>
      <c r="D64" t="str">
        <f>VLOOKUP(C64,'Project Status'!C:H,6,FALSE)</f>
        <v>DIVINITY</v>
      </c>
      <c r="E64" t="str">
        <f>VLOOKUP(C64,'Project Status'!C:I,7,FALSE)</f>
        <v>Divinity - AHU 1N (1&amp;3) Replacement with Benton</v>
      </c>
      <c r="F64" t="str">
        <f>VLOOKUP(C64,'Project Status'!C:J,8,FALSE)</f>
        <v>Design</v>
      </c>
      <c r="G64" t="str">
        <f>VLOOKUP(C64,'Project Status'!C:K,9,FALSE)</f>
        <v>Hans Mooy</v>
      </c>
      <c r="I64" s="183" t="str">
        <f>VLOOKUP(C64,'Project Status'!C:U,19,FALSE)</f>
        <v>TBD</v>
      </c>
      <c r="J64" s="184" t="str">
        <f t="shared" ref="J64:J66" si="5">IF(I64="TBD",I64,SUM(H64:I64))</f>
        <v>TBD</v>
      </c>
      <c r="K64" s="221"/>
      <c r="L64" s="200"/>
    </row>
    <row r="65" spans="1:12" x14ac:dyDescent="0.4">
      <c r="A65" s="217"/>
      <c r="B65" s="109">
        <v>3</v>
      </c>
      <c r="C65">
        <v>20563</v>
      </c>
      <c r="D65" t="str">
        <f>VLOOKUP(C65,'Project Status'!C:H,6,FALSE)</f>
        <v>KECK FREE ELECTRON LASER CTR</v>
      </c>
      <c r="E65" t="str">
        <f>VLOOKUP(C65,'Project Status'!C:I,7,FALSE)</f>
        <v>Keck FEL - Roof Replacement</v>
      </c>
      <c r="F65" t="str">
        <f>VLOOKUP(C65,'Project Status'!C:J,8,FALSE)</f>
        <v>Not Started</v>
      </c>
      <c r="G65" t="str">
        <f>VLOOKUP(C65,'Project Status'!C:K,9,FALSE)</f>
        <v>Ben Bedock</v>
      </c>
      <c r="I65" s="183" t="str">
        <f>VLOOKUP(C65,'Project Status'!C:U,19,FALSE)</f>
        <v>TBD</v>
      </c>
      <c r="J65" s="184" t="str">
        <f t="shared" si="5"/>
        <v>TBD</v>
      </c>
      <c r="K65" s="221"/>
      <c r="L65" s="200"/>
    </row>
    <row r="66" spans="1:12" x14ac:dyDescent="0.4">
      <c r="A66" s="217"/>
      <c r="B66" s="109">
        <v>4</v>
      </c>
      <c r="C66">
        <v>20577</v>
      </c>
      <c r="D66" t="str">
        <f>VLOOKUP(C66,'Project Status'!C:H,6,FALSE)</f>
        <v>BLAIR SCHOOL OF MUSIC</v>
      </c>
      <c r="E66" t="str">
        <f>VLOOKUP(C66,'Project Status'!C:I,7,FALSE)</f>
        <v>Blair School of Music - Air Handling Unit Replacement</v>
      </c>
      <c r="F66" t="str">
        <f>VLOOKUP(C66,'Project Status'!C:J,8,FALSE)</f>
        <v>Design</v>
      </c>
      <c r="G66" t="str">
        <f>VLOOKUP(C66,'Project Status'!C:K,9,FALSE)</f>
        <v>Hans Mooy</v>
      </c>
      <c r="I66" s="183" t="str">
        <f>VLOOKUP(C66,'Project Status'!C:U,19,FALSE)</f>
        <v>TBD</v>
      </c>
      <c r="J66" s="184" t="str">
        <f t="shared" si="5"/>
        <v>TBD</v>
      </c>
      <c r="K66" s="221"/>
      <c r="L66" s="200"/>
    </row>
    <row r="67" spans="1:12" x14ac:dyDescent="0.4">
      <c r="A67" s="217"/>
      <c r="I67" s="183"/>
      <c r="J67" s="184"/>
      <c r="K67" s="221"/>
      <c r="L67" s="200"/>
    </row>
    <row r="68" spans="1:12" x14ac:dyDescent="0.4">
      <c r="A68" s="217"/>
      <c r="I68" s="183"/>
      <c r="J68" s="184"/>
      <c r="K68" s="221"/>
      <c r="L68" s="200"/>
    </row>
    <row r="69" spans="1:12" x14ac:dyDescent="0.4">
      <c r="A69" s="217"/>
      <c r="I69" s="183"/>
      <c r="J69" s="184"/>
      <c r="K69" s="221"/>
      <c r="L69" s="200"/>
    </row>
    <row r="70" spans="1:12" x14ac:dyDescent="0.4">
      <c r="A70" s="217"/>
      <c r="I70" s="183"/>
      <c r="J70" s="184"/>
      <c r="K70" s="221"/>
      <c r="L70" s="200"/>
    </row>
    <row r="71" spans="1:12" x14ac:dyDescent="0.4">
      <c r="A71" s="217"/>
      <c r="I71" s="183"/>
      <c r="J71" s="184"/>
      <c r="K71" s="221"/>
      <c r="L71" s="200"/>
    </row>
    <row r="72" spans="1:12" x14ac:dyDescent="0.4">
      <c r="A72" s="217"/>
      <c r="I72" s="183"/>
      <c r="J72" s="184"/>
      <c r="K72" s="221"/>
      <c r="L72" s="200"/>
    </row>
    <row r="73" spans="1:12" x14ac:dyDescent="0.4">
      <c r="A73" s="217"/>
      <c r="J73" s="176"/>
      <c r="K73" s="221"/>
      <c r="L73" s="200"/>
    </row>
    <row r="74" spans="1:12" x14ac:dyDescent="0.4">
      <c r="A74" s="217"/>
      <c r="J74" s="176"/>
      <c r="K74" s="221"/>
      <c r="L74" s="200"/>
    </row>
    <row r="75" spans="1:12" x14ac:dyDescent="0.4">
      <c r="A75" s="217"/>
      <c r="J75" s="176"/>
      <c r="K75" s="221"/>
      <c r="L75" s="200"/>
    </row>
    <row r="76" spans="1:12" x14ac:dyDescent="0.4">
      <c r="A76" s="217"/>
      <c r="J76" s="176"/>
      <c r="K76" s="221"/>
      <c r="L76" s="200"/>
    </row>
    <row r="77" spans="1:12" x14ac:dyDescent="0.4">
      <c r="A77" s="217"/>
      <c r="J77" s="176"/>
      <c r="K77" s="221"/>
      <c r="L77" s="200"/>
    </row>
    <row r="78" spans="1:12" x14ac:dyDescent="0.4">
      <c r="A78" s="217"/>
      <c r="J78" s="176"/>
      <c r="K78" s="220" t="s">
        <v>326</v>
      </c>
      <c r="L78" s="200"/>
    </row>
    <row r="79" spans="1:12" x14ac:dyDescent="0.4">
      <c r="A79" s="217"/>
      <c r="J79" s="176"/>
      <c r="K79" s="220"/>
      <c r="L79" s="200"/>
    </row>
    <row r="80" spans="1:12" x14ac:dyDescent="0.4">
      <c r="A80" s="217"/>
      <c r="J80" s="176"/>
      <c r="K80" s="208">
        <v>0</v>
      </c>
      <c r="L80" s="200"/>
    </row>
    <row r="81" spans="1:12" x14ac:dyDescent="0.4">
      <c r="A81" s="217"/>
      <c r="J81" s="176"/>
      <c r="K81" s="208"/>
      <c r="L81" s="200"/>
    </row>
    <row r="82" spans="1:12" x14ac:dyDescent="0.4">
      <c r="A82" s="217"/>
      <c r="J82" s="176"/>
      <c r="K82" s="220" t="s">
        <v>327</v>
      </c>
      <c r="L82" s="200"/>
    </row>
    <row r="83" spans="1:12" x14ac:dyDescent="0.4">
      <c r="A83" s="217"/>
      <c r="J83" s="176"/>
      <c r="K83" s="220"/>
      <c r="L83" s="200"/>
    </row>
    <row r="84" spans="1:12" x14ac:dyDescent="0.4">
      <c r="H84" s="185">
        <f t="shared" ref="H84" si="6">SUM(H63:H83)</f>
        <v>0</v>
      </c>
      <c r="I84" s="185">
        <f t="shared" ref="I84" si="7">SUM(I63:I83)</f>
        <v>0</v>
      </c>
      <c r="J84" s="185">
        <f>SUM(J63:J83)</f>
        <v>0</v>
      </c>
      <c r="K84" s="207"/>
      <c r="L84" s="185">
        <f>K63-J84</f>
        <v>0</v>
      </c>
    </row>
  </sheetData>
  <mergeCells count="10">
    <mergeCell ref="K3:K32"/>
    <mergeCell ref="A2:A31"/>
    <mergeCell ref="A34:A59"/>
    <mergeCell ref="A62:A83"/>
    <mergeCell ref="K35:K53"/>
    <mergeCell ref="K54:K55"/>
    <mergeCell ref="K58:K59"/>
    <mergeCell ref="K78:K79"/>
    <mergeCell ref="K82:K83"/>
    <mergeCell ref="K63:K7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65439-1475-431C-BDA1-303315028440}">
  <sheetPr>
    <tabColor theme="7"/>
  </sheetPr>
  <dimension ref="A1:F48"/>
  <sheetViews>
    <sheetView tabSelected="1" zoomScaleNormal="100" workbookViewId="0">
      <pane ySplit="3" topLeftCell="A24" activePane="bottomLeft" state="frozen"/>
      <selection pane="bottomLeft" activeCell="F1" sqref="F1"/>
    </sheetView>
  </sheetViews>
  <sheetFormatPr defaultRowHeight="14.6" x14ac:dyDescent="0.4"/>
  <cols>
    <col min="1" max="1" width="64.53515625" bestFit="1" customWidth="1"/>
    <col min="2" max="2" width="11" bestFit="1" customWidth="1"/>
    <col min="3" max="4" width="12.921875" bestFit="1" customWidth="1"/>
  </cols>
  <sheetData>
    <row r="1" spans="1:4" s="8" customFormat="1" x14ac:dyDescent="0.4">
      <c r="A1" s="10" t="s">
        <v>387</v>
      </c>
      <c r="B1"/>
      <c r="C1"/>
    </row>
    <row r="3" spans="1:4" x14ac:dyDescent="0.4">
      <c r="A3" s="26" t="s">
        <v>117</v>
      </c>
      <c r="B3" t="s">
        <v>384</v>
      </c>
      <c r="C3" t="s">
        <v>385</v>
      </c>
      <c r="D3" t="s">
        <v>386</v>
      </c>
    </row>
    <row r="4" spans="1:4" x14ac:dyDescent="0.4">
      <c r="A4" s="27" t="s">
        <v>101</v>
      </c>
      <c r="B4" s="28">
        <v>3076761.5900000003</v>
      </c>
      <c r="C4" s="28">
        <v>3253240.5</v>
      </c>
      <c r="D4" s="28">
        <v>1028900</v>
      </c>
    </row>
    <row r="5" spans="1:4" x14ac:dyDescent="0.4">
      <c r="A5" s="22" t="s">
        <v>111</v>
      </c>
      <c r="B5" s="28">
        <v>85500</v>
      </c>
      <c r="C5" s="28">
        <v>125875</v>
      </c>
      <c r="D5" s="28">
        <v>0</v>
      </c>
    </row>
    <row r="6" spans="1:4" x14ac:dyDescent="0.4">
      <c r="A6" s="22" t="s">
        <v>240</v>
      </c>
      <c r="B6" s="28">
        <v>416873.11</v>
      </c>
      <c r="C6" s="28">
        <v>81100</v>
      </c>
      <c r="D6" s="28">
        <v>1028900</v>
      </c>
    </row>
    <row r="7" spans="1:4" x14ac:dyDescent="0.4">
      <c r="A7" s="22" t="s">
        <v>270</v>
      </c>
      <c r="B7" s="28">
        <v>482034.33</v>
      </c>
      <c r="C7" s="28">
        <v>96166</v>
      </c>
      <c r="D7" s="28">
        <v>0</v>
      </c>
    </row>
    <row r="8" spans="1:4" x14ac:dyDescent="0.4">
      <c r="A8" s="22" t="s">
        <v>291</v>
      </c>
      <c r="B8" s="28">
        <v>100186.22</v>
      </c>
      <c r="C8" s="28">
        <v>69862.5</v>
      </c>
      <c r="D8" s="28">
        <v>0</v>
      </c>
    </row>
    <row r="9" spans="1:4" x14ac:dyDescent="0.4">
      <c r="A9" s="22" t="s">
        <v>294</v>
      </c>
      <c r="B9" s="28">
        <v>404017</v>
      </c>
      <c r="C9" s="28">
        <v>483440</v>
      </c>
      <c r="D9" s="28">
        <v>0</v>
      </c>
    </row>
    <row r="10" spans="1:4" x14ac:dyDescent="0.4">
      <c r="A10" s="22" t="s">
        <v>313</v>
      </c>
      <c r="B10" s="28">
        <v>138257.51999999999</v>
      </c>
      <c r="C10" s="28">
        <v>160500</v>
      </c>
      <c r="D10" s="28">
        <v>0</v>
      </c>
    </row>
    <row r="11" spans="1:4" x14ac:dyDescent="0.4">
      <c r="A11" s="22" t="s">
        <v>189</v>
      </c>
      <c r="B11" s="28">
        <v>166360</v>
      </c>
      <c r="C11" s="28">
        <v>218202</v>
      </c>
      <c r="D11" s="28">
        <v>0</v>
      </c>
    </row>
    <row r="12" spans="1:4" x14ac:dyDescent="0.4">
      <c r="A12" s="22" t="s">
        <v>266</v>
      </c>
      <c r="B12" s="28">
        <v>24150</v>
      </c>
      <c r="C12" s="28">
        <v>300000</v>
      </c>
      <c r="D12" s="28">
        <v>0</v>
      </c>
    </row>
    <row r="13" spans="1:4" x14ac:dyDescent="0.4">
      <c r="A13" s="22" t="s">
        <v>350</v>
      </c>
      <c r="B13" s="28">
        <v>73823.77</v>
      </c>
      <c r="C13" s="28">
        <v>79623</v>
      </c>
      <c r="D13" s="28">
        <v>0</v>
      </c>
    </row>
    <row r="14" spans="1:4" x14ac:dyDescent="0.4">
      <c r="A14" s="22" t="s">
        <v>188</v>
      </c>
      <c r="B14" s="28">
        <v>823000</v>
      </c>
      <c r="C14" s="28">
        <v>1232681</v>
      </c>
      <c r="D14" s="28">
        <v>0</v>
      </c>
    </row>
    <row r="15" spans="1:4" x14ac:dyDescent="0.4">
      <c r="A15" s="22" t="s">
        <v>107</v>
      </c>
      <c r="B15" s="28">
        <v>362559.64</v>
      </c>
      <c r="C15" s="28">
        <v>405791</v>
      </c>
      <c r="D15" s="28">
        <v>0</v>
      </c>
    </row>
    <row r="16" spans="1:4" x14ac:dyDescent="0.4">
      <c r="A16" s="27" t="s">
        <v>100</v>
      </c>
      <c r="B16" s="28">
        <v>340221.20999999996</v>
      </c>
      <c r="C16" s="28">
        <v>1159143</v>
      </c>
      <c r="D16" s="28">
        <v>0</v>
      </c>
    </row>
    <row r="17" spans="1:6" x14ac:dyDescent="0.4">
      <c r="A17" s="22" t="s">
        <v>166</v>
      </c>
      <c r="B17" s="28">
        <v>0</v>
      </c>
      <c r="C17" s="28">
        <v>146500</v>
      </c>
      <c r="D17" s="28">
        <v>0</v>
      </c>
    </row>
    <row r="18" spans="1:6" x14ac:dyDescent="0.4">
      <c r="A18" s="22" t="s">
        <v>190</v>
      </c>
      <c r="B18" s="28">
        <v>185191.21</v>
      </c>
      <c r="C18" s="28">
        <v>223000</v>
      </c>
      <c r="D18" s="28">
        <v>0</v>
      </c>
    </row>
    <row r="19" spans="1:6" x14ac:dyDescent="0.4">
      <c r="A19" s="22" t="s">
        <v>235</v>
      </c>
      <c r="B19" s="28">
        <v>12000</v>
      </c>
      <c r="C19" s="28">
        <v>23400</v>
      </c>
      <c r="D19" s="28">
        <v>0</v>
      </c>
    </row>
    <row r="20" spans="1:6" x14ac:dyDescent="0.4">
      <c r="A20" s="22" t="s">
        <v>292</v>
      </c>
      <c r="B20" s="28">
        <v>12712.5</v>
      </c>
      <c r="C20" s="28">
        <v>26500</v>
      </c>
      <c r="D20" s="28">
        <v>0</v>
      </c>
    </row>
    <row r="21" spans="1:6" x14ac:dyDescent="0.4">
      <c r="A21" s="22" t="s">
        <v>289</v>
      </c>
      <c r="B21" s="28">
        <v>62100</v>
      </c>
      <c r="C21" s="28">
        <v>4900</v>
      </c>
      <c r="D21" s="28">
        <v>0</v>
      </c>
    </row>
    <row r="22" spans="1:6" x14ac:dyDescent="0.4">
      <c r="A22" s="22" t="s">
        <v>164</v>
      </c>
      <c r="B22" s="28">
        <v>47010</v>
      </c>
      <c r="C22" s="28">
        <v>206500</v>
      </c>
      <c r="D22" s="28">
        <v>0</v>
      </c>
    </row>
    <row r="23" spans="1:6" x14ac:dyDescent="0.4">
      <c r="A23" s="22" t="s">
        <v>349</v>
      </c>
      <c r="B23" s="28">
        <v>0</v>
      </c>
      <c r="C23" s="28">
        <v>499093</v>
      </c>
      <c r="D23" s="28">
        <v>0</v>
      </c>
    </row>
    <row r="24" spans="1:6" x14ac:dyDescent="0.4">
      <c r="A24" s="22" t="s">
        <v>273</v>
      </c>
      <c r="B24" s="28">
        <v>0</v>
      </c>
      <c r="C24" s="28">
        <v>0</v>
      </c>
      <c r="D24" s="28">
        <v>0</v>
      </c>
    </row>
    <row r="25" spans="1:6" x14ac:dyDescent="0.4">
      <c r="A25" s="22" t="s">
        <v>222</v>
      </c>
      <c r="B25" s="28">
        <v>21207.5</v>
      </c>
      <c r="C25" s="28">
        <v>29250</v>
      </c>
      <c r="D25" s="28">
        <v>0</v>
      </c>
    </row>
    <row r="26" spans="1:6" x14ac:dyDescent="0.4">
      <c r="A26" s="22" t="s">
        <v>338</v>
      </c>
      <c r="B26" s="28">
        <v>0</v>
      </c>
      <c r="C26" s="28">
        <v>0</v>
      </c>
      <c r="D26" s="28">
        <v>0</v>
      </c>
    </row>
    <row r="27" spans="1:6" x14ac:dyDescent="0.4">
      <c r="A27" s="22" t="s">
        <v>356</v>
      </c>
      <c r="B27" s="28">
        <v>0</v>
      </c>
      <c r="C27" s="28">
        <v>0</v>
      </c>
      <c r="D27" s="28">
        <v>0</v>
      </c>
    </row>
    <row r="28" spans="1:6" x14ac:dyDescent="0.4">
      <c r="A28" s="27" t="s">
        <v>340</v>
      </c>
      <c r="B28" s="28">
        <v>35472</v>
      </c>
      <c r="C28" s="28">
        <v>42497</v>
      </c>
      <c r="D28" s="28">
        <v>0</v>
      </c>
    </row>
    <row r="29" spans="1:6" x14ac:dyDescent="0.4">
      <c r="A29" s="22" t="s">
        <v>108</v>
      </c>
      <c r="B29" s="28">
        <v>17500</v>
      </c>
      <c r="C29" s="28">
        <v>17500</v>
      </c>
      <c r="D29" s="28">
        <v>0</v>
      </c>
    </row>
    <row r="30" spans="1:6" x14ac:dyDescent="0.4">
      <c r="A30" s="22" t="s">
        <v>276</v>
      </c>
      <c r="B30" s="28">
        <v>17972</v>
      </c>
      <c r="C30" s="28">
        <v>24997</v>
      </c>
      <c r="D30" s="28">
        <v>0</v>
      </c>
      <c r="F30" s="28"/>
    </row>
    <row r="31" spans="1:6" x14ac:dyDescent="0.4">
      <c r="A31" s="27" t="s">
        <v>278</v>
      </c>
      <c r="B31" s="28">
        <v>1212059.54</v>
      </c>
      <c r="C31" s="28">
        <v>1216485.5</v>
      </c>
      <c r="D31" s="28">
        <v>0</v>
      </c>
    </row>
    <row r="32" spans="1:6" x14ac:dyDescent="0.4">
      <c r="A32" s="22" t="s">
        <v>311</v>
      </c>
      <c r="B32" s="28">
        <v>1212059.54</v>
      </c>
      <c r="C32" s="28">
        <v>1216485.5</v>
      </c>
      <c r="D32" s="28">
        <v>0</v>
      </c>
    </row>
    <row r="33" spans="1:4" x14ac:dyDescent="0.4">
      <c r="A33" s="27" t="s">
        <v>274</v>
      </c>
      <c r="B33" s="28">
        <v>0</v>
      </c>
      <c r="C33" s="28">
        <v>0</v>
      </c>
      <c r="D33" s="28">
        <v>0</v>
      </c>
    </row>
    <row r="34" spans="1:4" x14ac:dyDescent="0.4">
      <c r="A34" s="22" t="s">
        <v>283</v>
      </c>
      <c r="B34" s="28">
        <v>0</v>
      </c>
      <c r="C34" s="28">
        <v>0</v>
      </c>
      <c r="D34" s="28">
        <v>0</v>
      </c>
    </row>
    <row r="35" spans="1:4" x14ac:dyDescent="0.4">
      <c r="A35" s="22" t="s">
        <v>339</v>
      </c>
      <c r="B35" s="28">
        <v>0</v>
      </c>
      <c r="C35" s="28">
        <v>0</v>
      </c>
      <c r="D35" s="28">
        <v>0</v>
      </c>
    </row>
    <row r="36" spans="1:4" x14ac:dyDescent="0.4">
      <c r="A36" s="22" t="s">
        <v>355</v>
      </c>
      <c r="B36" s="28">
        <v>0</v>
      </c>
      <c r="C36" s="28">
        <v>0</v>
      </c>
      <c r="D36" s="28">
        <v>0</v>
      </c>
    </row>
    <row r="37" spans="1:4" x14ac:dyDescent="0.4">
      <c r="A37" s="27" t="s">
        <v>341</v>
      </c>
      <c r="B37" s="28">
        <v>0</v>
      </c>
      <c r="C37" s="28">
        <v>0</v>
      </c>
      <c r="D37" s="28">
        <v>0</v>
      </c>
    </row>
    <row r="38" spans="1:4" x14ac:dyDescent="0.4">
      <c r="A38" s="22" t="s">
        <v>353</v>
      </c>
      <c r="B38" s="28">
        <v>0</v>
      </c>
      <c r="C38" s="28">
        <v>0</v>
      </c>
      <c r="D38" s="28">
        <v>0</v>
      </c>
    </row>
    <row r="39" spans="1:4" x14ac:dyDescent="0.4">
      <c r="A39" s="22" t="s">
        <v>277</v>
      </c>
      <c r="B39" s="28">
        <v>0</v>
      </c>
      <c r="C39" s="28">
        <v>0</v>
      </c>
      <c r="D39" s="28">
        <v>0</v>
      </c>
    </row>
    <row r="40" spans="1:4" x14ac:dyDescent="0.4">
      <c r="A40" s="27" t="s">
        <v>312</v>
      </c>
      <c r="B40" s="28">
        <v>3398462.4800000004</v>
      </c>
      <c r="C40" s="28">
        <v>3125920.26</v>
      </c>
      <c r="D40" s="28">
        <v>0</v>
      </c>
    </row>
    <row r="41" spans="1:4" x14ac:dyDescent="0.4">
      <c r="A41" s="22" t="s">
        <v>191</v>
      </c>
      <c r="B41" s="28">
        <v>274975</v>
      </c>
      <c r="C41" s="28">
        <v>327890</v>
      </c>
      <c r="D41" s="28">
        <v>0</v>
      </c>
    </row>
    <row r="42" spans="1:4" x14ac:dyDescent="0.4">
      <c r="A42" s="22" t="s">
        <v>105</v>
      </c>
      <c r="B42" s="28">
        <v>412000</v>
      </c>
      <c r="C42" s="28">
        <v>79415.5</v>
      </c>
      <c r="D42" s="28">
        <v>0</v>
      </c>
    </row>
    <row r="43" spans="1:4" x14ac:dyDescent="0.4">
      <c r="A43" s="22" t="s">
        <v>290</v>
      </c>
      <c r="B43" s="28">
        <v>1352423.14</v>
      </c>
      <c r="C43" s="28">
        <v>722694.5</v>
      </c>
      <c r="D43" s="28">
        <v>0</v>
      </c>
    </row>
    <row r="44" spans="1:4" x14ac:dyDescent="0.4">
      <c r="A44" s="22" t="s">
        <v>297</v>
      </c>
      <c r="B44" s="28">
        <v>175193.4</v>
      </c>
      <c r="C44" s="28">
        <v>630554</v>
      </c>
      <c r="D44" s="28">
        <v>0</v>
      </c>
    </row>
    <row r="45" spans="1:4" x14ac:dyDescent="0.4">
      <c r="A45" s="22" t="s">
        <v>187</v>
      </c>
      <c r="B45" s="28">
        <v>670650.68000000005</v>
      </c>
      <c r="C45" s="28">
        <v>781870</v>
      </c>
      <c r="D45" s="28">
        <v>0</v>
      </c>
    </row>
    <row r="46" spans="1:4" x14ac:dyDescent="0.4">
      <c r="A46" s="22" t="s">
        <v>215</v>
      </c>
      <c r="B46" s="28">
        <v>205444</v>
      </c>
      <c r="C46" s="28">
        <v>239341</v>
      </c>
      <c r="D46" s="28">
        <v>0</v>
      </c>
    </row>
    <row r="47" spans="1:4" x14ac:dyDescent="0.4">
      <c r="A47" s="22" t="s">
        <v>246</v>
      </c>
      <c r="B47" s="28">
        <v>307776.26</v>
      </c>
      <c r="C47" s="28">
        <v>344155.26</v>
      </c>
      <c r="D47" s="28">
        <v>0</v>
      </c>
    </row>
    <row r="48" spans="1:4" x14ac:dyDescent="0.4">
      <c r="A48" s="27" t="s">
        <v>118</v>
      </c>
      <c r="B48" s="28">
        <v>8062976.8199999994</v>
      </c>
      <c r="C48" s="28">
        <v>8797286.2599999998</v>
      </c>
      <c r="D48" s="28">
        <v>1028900</v>
      </c>
    </row>
  </sheetData>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4</vt:i4>
      </vt:variant>
    </vt:vector>
  </HeadingPairs>
  <TitlesOfParts>
    <vt:vector size="47" baseType="lpstr">
      <vt:lpstr>Guidance</vt:lpstr>
      <vt:lpstr>Summary_for Web-1</vt:lpstr>
      <vt:lpstr>Summary_for Web-2</vt:lpstr>
      <vt:lpstr>Summary_by School</vt:lpstr>
      <vt:lpstr>Shared Building Allocation</vt:lpstr>
      <vt:lpstr>Contributions</vt:lpstr>
      <vt:lpstr>Project Status</vt:lpstr>
      <vt:lpstr>Summary_by FY</vt:lpstr>
      <vt:lpstr>Summary_by Phase</vt:lpstr>
      <vt:lpstr>10085</vt:lpstr>
      <vt:lpstr>10098</vt:lpstr>
      <vt:lpstr>10146</vt:lpstr>
      <vt:lpstr>20179</vt:lpstr>
      <vt:lpstr>20336</vt:lpstr>
      <vt:lpstr>20431</vt:lpstr>
      <vt:lpstr>20478</vt:lpstr>
      <vt:lpstr>20489</vt:lpstr>
      <vt:lpstr>20497</vt:lpstr>
      <vt:lpstr>20506</vt:lpstr>
      <vt:lpstr>20562</vt:lpstr>
      <vt:lpstr>20566</vt:lpstr>
      <vt:lpstr>20573</vt:lpstr>
      <vt:lpstr>20574</vt:lpstr>
      <vt:lpstr>20577</vt:lpstr>
      <vt:lpstr>20644</vt:lpstr>
      <vt:lpstr>20645</vt:lpstr>
      <vt:lpstr>20667</vt:lpstr>
      <vt:lpstr>20668</vt:lpstr>
      <vt:lpstr>20698</vt:lpstr>
      <vt:lpstr>20700</vt:lpstr>
      <vt:lpstr>20701</vt:lpstr>
      <vt:lpstr>20702</vt:lpstr>
      <vt:lpstr>20718</vt:lpstr>
      <vt:lpstr>20723</vt:lpstr>
      <vt:lpstr>20724</vt:lpstr>
      <vt:lpstr>20735</vt:lpstr>
      <vt:lpstr>20771</vt:lpstr>
      <vt:lpstr>20792</vt:lpstr>
      <vt:lpstr>JE LOG_FY23</vt:lpstr>
      <vt:lpstr>JE LOG_FY24</vt:lpstr>
      <vt:lpstr>lookup</vt:lpstr>
      <vt:lpstr>PUC GSF</vt:lpstr>
      <vt:lpstr>Notes</vt:lpstr>
      <vt:lpstr>JE</vt:lpstr>
      <vt:lpstr>'JE LOG_FY24'!list</vt:lpstr>
      <vt:lpstr>list</vt:lpstr>
      <vt:lpstr>'Shared Building Allocation'!Print_Area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Crowhurst, Stacey</dc:creator>
  <cp:lastModifiedBy>Crowhurst, Stacey</cp:lastModifiedBy>
  <cp:lastPrinted>2023-08-09T18:19:51Z</cp:lastPrinted>
  <dcterms:created xsi:type="dcterms:W3CDTF">2021-08-31T18:33:23Z</dcterms:created>
  <dcterms:modified xsi:type="dcterms:W3CDTF">2023-09-08T15:11:14Z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