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E0B11A95-2771-4360-967C-2DF9BA8A9036}" xr6:coauthVersionLast="47" xr6:coauthVersionMax="47" xr10:uidLastSave="{00000000-0000-0000-0000-000000000000}"/>
  <bookViews>
    <workbookView xWindow="28680" yWindow="-120" windowWidth="24240" windowHeight="13140" tabRatio="894" activeTab="2" xr2:uid="{382D63A7-A064-43C4-BB7D-7DDF2E98A281}"/>
  </bookViews>
  <sheets>
    <sheet name="Guidance" sheetId="47" r:id="rId1"/>
    <sheet name="Summary_for Web-1" sheetId="18" r:id="rId2"/>
    <sheet name="Summary_for Web-2" sheetId="17" r:id="rId3"/>
    <sheet name="Shared Building Allocation" sheetId="8" r:id="rId4"/>
    <sheet name="Contributions" sheetId="7" r:id="rId5"/>
    <sheet name="Project Status" sheetId="3" r:id="rId6"/>
    <sheet name="Summary_by FY" sheetId="41" r:id="rId7"/>
    <sheet name="Summary_by School" sheetId="9" r:id="rId8"/>
    <sheet name="10085" sheetId="24" r:id="rId9"/>
    <sheet name="10098" sheetId="10" r:id="rId10"/>
    <sheet name="10146" sheetId="29" r:id="rId11"/>
    <sheet name="20179" sheetId="12" r:id="rId12"/>
    <sheet name="20336" sheetId="15" r:id="rId13"/>
    <sheet name="20431" sheetId="20" r:id="rId14"/>
    <sheet name="20478" sheetId="34" r:id="rId15"/>
    <sheet name="20489" sheetId="35" r:id="rId16"/>
    <sheet name="20497" sheetId="13" r:id="rId17"/>
    <sheet name="20506" sheetId="38" r:id="rId18"/>
    <sheet name="20562" sheetId="32" r:id="rId19"/>
    <sheet name="20566" sheetId="14" r:id="rId20"/>
    <sheet name="20573" sheetId="36" r:id="rId21"/>
    <sheet name="20574" sheetId="21" r:id="rId22"/>
    <sheet name="20577" sheetId="16" r:id="rId23"/>
    <sheet name="20644" sheetId="31" r:id="rId24"/>
    <sheet name="20645" sheetId="46" r:id="rId25"/>
    <sheet name="20667" sheetId="19" r:id="rId26"/>
    <sheet name="20668" sheetId="22" r:id="rId27"/>
    <sheet name="20698" sheetId="27" r:id="rId28"/>
    <sheet name="20700" sheetId="30" r:id="rId29"/>
    <sheet name="20701" sheetId="39" r:id="rId30"/>
    <sheet name="20702" sheetId="26" r:id="rId31"/>
    <sheet name="20718" sheetId="44" r:id="rId32"/>
    <sheet name="20723" sheetId="37" r:id="rId33"/>
    <sheet name="20724" sheetId="33" r:id="rId34"/>
    <sheet name="20735" sheetId="42" r:id="rId35"/>
    <sheet name="20771" sheetId="40" r:id="rId36"/>
    <sheet name="20792" sheetId="45" r:id="rId37"/>
    <sheet name="JE LOG_FY23" sheetId="11" r:id="rId38"/>
    <sheet name="JE LOG_FY24" sheetId="48" r:id="rId39"/>
    <sheet name="lookup" sheetId="25" r:id="rId40"/>
    <sheet name="PUC GSF" sheetId="1" state="hidden" r:id="rId41"/>
    <sheet name="Notes" sheetId="6" state="hidden" r:id="rId42"/>
  </sheets>
  <definedNames>
    <definedName name="_xlnm._FilterDatabase" localSheetId="5" hidden="1">'Project Status'!$A$3:$P$38</definedName>
    <definedName name="JE">'10098'!$E$9:$H$12</definedName>
    <definedName name="list" localSheetId="38">'JE LOG_FY24'!$T:$T</definedName>
    <definedName name="list">'JE LOG_FY23'!$T:$T</definedName>
    <definedName name="_xlnm.Print_Area" localSheetId="3">'Shared Building Allocation'!$A$1:$G$15</definedName>
    <definedName name="Slicer_Building">#N/A</definedName>
    <definedName name="Slicer_Capex___opex">#N/A</definedName>
    <definedName name="Slicer_Lookup">#N/A</definedName>
  </definedNames>
  <calcPr calcId="191029"/>
  <pivotCaches>
    <pivotCache cacheId="0" r:id="rId43"/>
  </pivotCaches>
  <extLst>
    <ext xmlns:x14="http://schemas.microsoft.com/office/spreadsheetml/2009/9/main" uri="{BBE1A952-AA13-448e-AADC-164F8A28A991}">
      <x14:slicerCaches>
        <x14:slicerCache r:id="rId44"/>
        <x14:slicerCache r:id="rId45"/>
        <x14:slicerCache r:id="rId4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3" l="1"/>
  <c r="D38" i="17"/>
  <c r="E38" i="17"/>
  <c r="F38" i="17"/>
  <c r="G38" i="17"/>
  <c r="H38" i="17"/>
  <c r="D39" i="17"/>
  <c r="E39" i="17"/>
  <c r="F39" i="17"/>
  <c r="G39" i="17"/>
  <c r="H39" i="17"/>
  <c r="B38" i="17"/>
  <c r="B39" i="17"/>
  <c r="I6" i="8"/>
  <c r="I7" i="8"/>
  <c r="I8" i="8"/>
  <c r="I9" i="8"/>
  <c r="I11" i="8"/>
  <c r="I12" i="8"/>
  <c r="I13" i="8"/>
  <c r="I5" i="8"/>
  <c r="D45" i="41"/>
  <c r="E45" i="41"/>
  <c r="F45" i="41"/>
  <c r="G45" i="41"/>
  <c r="H45" i="41"/>
  <c r="I45" i="41"/>
  <c r="J45" i="41" s="1"/>
  <c r="D46" i="41"/>
  <c r="E46" i="41"/>
  <c r="F46" i="41"/>
  <c r="G46" i="41"/>
  <c r="H46" i="41"/>
  <c r="I46" i="41"/>
  <c r="G36" i="3"/>
  <c r="G37" i="3"/>
  <c r="R10" i="3"/>
  <c r="C4" i="48"/>
  <c r="C5" i="48" s="1"/>
  <c r="J46" i="41" l="1"/>
  <c r="G17" i="17"/>
  <c r="G34" i="17"/>
  <c r="G36" i="17"/>
  <c r="K35" i="41"/>
  <c r="I37" i="41" l="1"/>
  <c r="I38" i="41"/>
  <c r="I39" i="41"/>
  <c r="I40" i="41"/>
  <c r="I43" i="41"/>
  <c r="I44" i="41"/>
  <c r="I35" i="41"/>
  <c r="J35" i="41" s="1"/>
  <c r="H35" i="41"/>
  <c r="H36" i="41"/>
  <c r="H37" i="41"/>
  <c r="H38" i="41"/>
  <c r="H39" i="41"/>
  <c r="H40" i="41"/>
  <c r="H41" i="41"/>
  <c r="H42" i="41"/>
  <c r="H43" i="41"/>
  <c r="H44" i="41"/>
  <c r="T42" i="3"/>
  <c r="H18" i="44"/>
  <c r="H13" i="44"/>
  <c r="T5" i="3" l="1"/>
  <c r="T6" i="3"/>
  <c r="H8" i="17" s="1"/>
  <c r="T7" i="3"/>
  <c r="H9" i="17" s="1"/>
  <c r="T8" i="3"/>
  <c r="H10" i="17" s="1"/>
  <c r="T11" i="3"/>
  <c r="H13" i="17" s="1"/>
  <c r="T12" i="3"/>
  <c r="H14" i="17" s="1"/>
  <c r="T13" i="3"/>
  <c r="H15" i="17" s="1"/>
  <c r="T14" i="3"/>
  <c r="H16" i="17" s="1"/>
  <c r="T15" i="3"/>
  <c r="H17" i="17" s="1"/>
  <c r="T16" i="3"/>
  <c r="H18" i="17" s="1"/>
  <c r="T17" i="3"/>
  <c r="H19" i="17" s="1"/>
  <c r="T18" i="3"/>
  <c r="H20" i="17" s="1"/>
  <c r="T19" i="3"/>
  <c r="H21" i="17" s="1"/>
  <c r="T20" i="3"/>
  <c r="H22" i="17" s="1"/>
  <c r="T21" i="3"/>
  <c r="H23" i="17" s="1"/>
  <c r="T22" i="3"/>
  <c r="H24" i="17" s="1"/>
  <c r="T23" i="3"/>
  <c r="H25" i="17" s="1"/>
  <c r="T24" i="3"/>
  <c r="H26" i="17" s="1"/>
  <c r="T25" i="3"/>
  <c r="H27" i="17" s="1"/>
  <c r="T26" i="3"/>
  <c r="H28" i="17" s="1"/>
  <c r="T27" i="3"/>
  <c r="H29" i="17" s="1"/>
  <c r="T28" i="3"/>
  <c r="H30" i="17" s="1"/>
  <c r="T31" i="3"/>
  <c r="H33" i="17" s="1"/>
  <c r="T32" i="3"/>
  <c r="H34" i="17" s="1"/>
  <c r="T33" i="3"/>
  <c r="H35" i="17" s="1"/>
  <c r="T34" i="3"/>
  <c r="H36" i="17" s="1"/>
  <c r="T35" i="3"/>
  <c r="H37" i="17" s="1"/>
  <c r="T4" i="3"/>
  <c r="H6" i="17" s="1"/>
  <c r="Q35" i="3"/>
  <c r="J43" i="41"/>
  <c r="E64" i="41"/>
  <c r="E65" i="41"/>
  <c r="E66" i="41"/>
  <c r="E63" i="41"/>
  <c r="E44" i="41"/>
  <c r="E43" i="41"/>
  <c r="E42" i="41"/>
  <c r="E41" i="41"/>
  <c r="E40" i="41"/>
  <c r="E39" i="41"/>
  <c r="E38" i="41"/>
  <c r="E37" i="41"/>
  <c r="E36" i="41"/>
  <c r="E35" i="41"/>
  <c r="F66" i="41"/>
  <c r="F65" i="41"/>
  <c r="F64" i="41"/>
  <c r="F63" i="41"/>
  <c r="F44" i="41"/>
  <c r="F43" i="41"/>
  <c r="F42" i="41"/>
  <c r="F41" i="41"/>
  <c r="F40" i="41"/>
  <c r="F39" i="41"/>
  <c r="F38" i="41"/>
  <c r="F37" i="41"/>
  <c r="F36" i="41"/>
  <c r="F35" i="41"/>
  <c r="G66" i="41"/>
  <c r="G65" i="41"/>
  <c r="G64" i="41"/>
  <c r="G63"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G37" i="41"/>
  <c r="G38" i="41"/>
  <c r="G39" i="41"/>
  <c r="G40" i="41"/>
  <c r="G41" i="41"/>
  <c r="G42" i="41"/>
  <c r="G43" i="41"/>
  <c r="G44" i="41"/>
  <c r="G35" i="41"/>
  <c r="I64" i="41"/>
  <c r="J64" i="41" s="1"/>
  <c r="I65" i="41"/>
  <c r="J65" i="41" s="1"/>
  <c r="I66" i="41"/>
  <c r="J66" i="41" s="1"/>
  <c r="I63" i="41"/>
  <c r="J63" i="41" s="1"/>
  <c r="K63" i="41"/>
  <c r="H84" i="41"/>
  <c r="D66" i="41"/>
  <c r="D65" i="41"/>
  <c r="D64" i="41"/>
  <c r="D63" i="41"/>
  <c r="H60" i="41"/>
  <c r="D41" i="41"/>
  <c r="D42" i="41"/>
  <c r="D43" i="41"/>
  <c r="D44" i="41"/>
  <c r="J44" i="41"/>
  <c r="J38" i="41"/>
  <c r="J39" i="41"/>
  <c r="J40" i="41"/>
  <c r="H7" i="17" l="1"/>
  <c r="G37" i="17"/>
  <c r="H31" i="41"/>
  <c r="J31" i="41" s="1"/>
  <c r="J84" i="41"/>
  <c r="L84" i="41" s="1"/>
  <c r="I84" i="41"/>
  <c r="D40" i="41"/>
  <c r="D39" i="41"/>
  <c r="D38" i="41"/>
  <c r="D37" i="41"/>
  <c r="D36" i="41"/>
  <c r="D35"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Q10" i="3"/>
  <c r="L13" i="34"/>
  <c r="H18" i="34"/>
  <c r="H16" i="34"/>
  <c r="H14" i="34"/>
  <c r="H13" i="34"/>
  <c r="Q21" i="3"/>
  <c r="G23" i="17" l="1"/>
  <c r="H19" i="41"/>
  <c r="J19" i="41" s="1"/>
  <c r="G12" i="17"/>
  <c r="H9" i="41"/>
  <c r="J9" i="41" s="1"/>
  <c r="J37" i="41"/>
  <c r="T10" i="3"/>
  <c r="H12" i="17" s="1"/>
  <c r="H18" i="46"/>
  <c r="H4" i="46"/>
  <c r="G4" i="46"/>
  <c r="F4" i="46"/>
  <c r="E4" i="46"/>
  <c r="D4" i="46"/>
  <c r="C4" i="46"/>
  <c r="B4" i="46"/>
  <c r="Q31" i="3"/>
  <c r="H18" i="45"/>
  <c r="H4" i="45"/>
  <c r="G4" i="45"/>
  <c r="F4" i="45"/>
  <c r="E4" i="45"/>
  <c r="D4" i="45"/>
  <c r="C4" i="45"/>
  <c r="B4" i="45"/>
  <c r="Q28" i="3"/>
  <c r="H4" i="44"/>
  <c r="H20" i="44" s="1"/>
  <c r="G4" i="44"/>
  <c r="F4" i="44"/>
  <c r="E4" i="44"/>
  <c r="D4" i="44"/>
  <c r="C4" i="44"/>
  <c r="B4" i="44"/>
  <c r="E37" i="17"/>
  <c r="F37" i="17"/>
  <c r="B37" i="17"/>
  <c r="G35" i="3"/>
  <c r="D37" i="17" s="1"/>
  <c r="U38" i="3"/>
  <c r="P38" i="3"/>
  <c r="O38" i="3"/>
  <c r="N38" i="3"/>
  <c r="M38" i="3"/>
  <c r="L38" i="3"/>
  <c r="H18" i="42"/>
  <c r="H4" i="42"/>
  <c r="G4" i="42"/>
  <c r="F4" i="42"/>
  <c r="E4" i="42"/>
  <c r="D4" i="42"/>
  <c r="C4" i="42"/>
  <c r="B4" i="42"/>
  <c r="E36" i="17"/>
  <c r="F36" i="17"/>
  <c r="B36" i="17"/>
  <c r="G30" i="17" l="1"/>
  <c r="H26" i="41"/>
  <c r="J26" i="41" s="1"/>
  <c r="G33" i="17"/>
  <c r="H29" i="41"/>
  <c r="J29" i="41" s="1"/>
  <c r="H20" i="46"/>
  <c r="R38" i="3"/>
  <c r="T45" i="3" s="1"/>
  <c r="H20" i="45"/>
  <c r="H20" i="42"/>
  <c r="G15" i="3"/>
  <c r="E34" i="17"/>
  <c r="F34" i="17"/>
  <c r="E35" i="17"/>
  <c r="F35" i="17"/>
  <c r="B34" i="17"/>
  <c r="B35" i="17"/>
  <c r="H11" i="29"/>
  <c r="H18" i="29"/>
  <c r="Q26" i="3"/>
  <c r="Q33" i="3"/>
  <c r="Q30" i="3"/>
  <c r="Q29" i="3"/>
  <c r="Q27" i="3"/>
  <c r="Q25" i="3"/>
  <c r="Q23" i="3"/>
  <c r="Q22" i="3"/>
  <c r="Q20" i="3"/>
  <c r="Q19" i="3"/>
  <c r="Q18" i="3"/>
  <c r="Q17" i="3"/>
  <c r="Q16" i="3"/>
  <c r="Q14" i="3"/>
  <c r="Q13" i="3"/>
  <c r="Q12" i="3"/>
  <c r="Q11" i="3"/>
  <c r="Q9" i="3"/>
  <c r="Q8" i="3"/>
  <c r="Q7" i="3"/>
  <c r="Q6" i="3"/>
  <c r="Q5" i="3"/>
  <c r="H18" i="39"/>
  <c r="H18" i="33"/>
  <c r="H18" i="40"/>
  <c r="H18" i="37"/>
  <c r="H18" i="26"/>
  <c r="H18" i="30"/>
  <c r="H18" i="27"/>
  <c r="Q24" i="3" s="1"/>
  <c r="H18" i="22"/>
  <c r="H18" i="19"/>
  <c r="H18" i="31"/>
  <c r="H18" i="16"/>
  <c r="H18" i="21"/>
  <c r="H18" i="36"/>
  <c r="H18" i="14"/>
  <c r="H18" i="32"/>
  <c r="H18" i="38"/>
  <c r="H18" i="13"/>
  <c r="H18" i="35"/>
  <c r="H18" i="20"/>
  <c r="H18" i="15"/>
  <c r="H18" i="12"/>
  <c r="H18" i="24"/>
  <c r="H18" i="10"/>
  <c r="G29" i="3"/>
  <c r="G30" i="3"/>
  <c r="G31" i="3"/>
  <c r="G32" i="3"/>
  <c r="G33" i="3"/>
  <c r="G34" i="3"/>
  <c r="H4" i="40"/>
  <c r="H20" i="40" s="1"/>
  <c r="G4" i="40"/>
  <c r="F4" i="40"/>
  <c r="E4" i="40"/>
  <c r="D4" i="40"/>
  <c r="C4" i="40"/>
  <c r="B4" i="40"/>
  <c r="H4" i="39"/>
  <c r="H20" i="39" s="1"/>
  <c r="G4" i="39"/>
  <c r="F4" i="39"/>
  <c r="E4" i="39"/>
  <c r="D4" i="39"/>
  <c r="C4" i="39"/>
  <c r="B4" i="39"/>
  <c r="G15" i="17" l="1"/>
  <c r="H12" i="41"/>
  <c r="J12" i="41" s="1"/>
  <c r="G25" i="17"/>
  <c r="H21" i="41"/>
  <c r="J21" i="41" s="1"/>
  <c r="G26" i="17"/>
  <c r="H22" i="41"/>
  <c r="J22" i="41" s="1"/>
  <c r="G8" i="17"/>
  <c r="H5" i="41"/>
  <c r="J5" i="41" s="1"/>
  <c r="G18" i="17"/>
  <c r="H14" i="41"/>
  <c r="J14" i="41" s="1"/>
  <c r="G29" i="17"/>
  <c r="H25" i="41"/>
  <c r="J25" i="41" s="1"/>
  <c r="G9" i="17"/>
  <c r="H6" i="41"/>
  <c r="J6" i="41" s="1"/>
  <c r="G19" i="17"/>
  <c r="H15" i="41"/>
  <c r="J15" i="41" s="1"/>
  <c r="I41" i="41"/>
  <c r="G31" i="17"/>
  <c r="H27" i="41"/>
  <c r="J27" i="41" s="1"/>
  <c r="G7" i="17"/>
  <c r="D20" i="8"/>
  <c r="H4" i="41"/>
  <c r="J4" i="41" s="1"/>
  <c r="G10" i="17"/>
  <c r="H7" i="41"/>
  <c r="J7" i="41" s="1"/>
  <c r="G20" i="17"/>
  <c r="H16" i="41"/>
  <c r="J16" i="41" s="1"/>
  <c r="S30" i="3"/>
  <c r="I42" i="41" s="1"/>
  <c r="G32" i="17"/>
  <c r="H28" i="41"/>
  <c r="J28" i="41" s="1"/>
  <c r="G27" i="17"/>
  <c r="H23" i="41"/>
  <c r="J23" i="41" s="1"/>
  <c r="G11" i="17"/>
  <c r="H8" i="41"/>
  <c r="J8" i="41" s="1"/>
  <c r="G21" i="17"/>
  <c r="H17" i="41"/>
  <c r="J17" i="41" s="1"/>
  <c r="G35" i="17"/>
  <c r="H30" i="41"/>
  <c r="J30" i="41" s="1"/>
  <c r="G13" i="17"/>
  <c r="H10" i="41"/>
  <c r="J10" i="41" s="1"/>
  <c r="G22" i="17"/>
  <c r="H18" i="41"/>
  <c r="J18" i="41" s="1"/>
  <c r="G28" i="17"/>
  <c r="H24" i="41"/>
  <c r="J24" i="41" s="1"/>
  <c r="G16" i="17"/>
  <c r="H13" i="41"/>
  <c r="J13" i="41" s="1"/>
  <c r="G14" i="17"/>
  <c r="H11" i="41"/>
  <c r="J11" i="41" s="1"/>
  <c r="G24" i="17"/>
  <c r="H20" i="41"/>
  <c r="J20" i="41" s="1"/>
  <c r="S9" i="3"/>
  <c r="D34" i="17"/>
  <c r="D35" i="17"/>
  <c r="D36" i="17"/>
  <c r="E29" i="17"/>
  <c r="F29" i="17"/>
  <c r="E30" i="17"/>
  <c r="F30" i="17"/>
  <c r="E31" i="17"/>
  <c r="F31" i="17"/>
  <c r="E32" i="17"/>
  <c r="F32" i="17"/>
  <c r="B27" i="17"/>
  <c r="B28" i="17"/>
  <c r="B29" i="17"/>
  <c r="B30" i="17"/>
  <c r="B31" i="17"/>
  <c r="B32" i="17"/>
  <c r="B33" i="17"/>
  <c r="D23" i="8" l="1"/>
  <c r="D22" i="8"/>
  <c r="T9" i="3"/>
  <c r="H11" i="17" s="1"/>
  <c r="I36" i="41"/>
  <c r="J36" i="41" s="1"/>
  <c r="G27" i="3"/>
  <c r="D29" i="17" s="1"/>
  <c r="G28" i="3"/>
  <c r="H4" i="38"/>
  <c r="H20" i="38" s="1"/>
  <c r="G4" i="38"/>
  <c r="F4" i="38"/>
  <c r="E4" i="38"/>
  <c r="D4" i="38"/>
  <c r="C4" i="38"/>
  <c r="B4" i="38"/>
  <c r="G5" i="3"/>
  <c r="G6" i="3"/>
  <c r="G7" i="3"/>
  <c r="G8" i="3"/>
  <c r="G9" i="3"/>
  <c r="G10" i="3"/>
  <c r="G11" i="3"/>
  <c r="G12" i="3"/>
  <c r="G13" i="3"/>
  <c r="G14" i="3"/>
  <c r="G16" i="3"/>
  <c r="G17" i="3"/>
  <c r="G18" i="3"/>
  <c r="G19" i="3"/>
  <c r="G20" i="3"/>
  <c r="G21" i="3"/>
  <c r="G22" i="3"/>
  <c r="G23" i="3"/>
  <c r="G24" i="3"/>
  <c r="G25" i="3"/>
  <c r="G26" i="3"/>
  <c r="D24" i="8" l="1"/>
  <c r="E10" i="8"/>
  <c r="E5" i="8"/>
  <c r="D32" i="17"/>
  <c r="D31" i="17"/>
  <c r="D30" i="17"/>
  <c r="B9" i="17"/>
  <c r="B10" i="17"/>
  <c r="B11" i="17"/>
  <c r="B12" i="17"/>
  <c r="B13" i="17"/>
  <c r="B14" i="17"/>
  <c r="B15" i="17"/>
  <c r="B16" i="17"/>
  <c r="B17" i="17"/>
  <c r="B18" i="17"/>
  <c r="B19" i="17"/>
  <c r="B20" i="17"/>
  <c r="B21" i="17"/>
  <c r="B22" i="17"/>
  <c r="B23" i="17"/>
  <c r="B24" i="17"/>
  <c r="B25" i="17"/>
  <c r="B26" i="17"/>
  <c r="H4" i="37"/>
  <c r="H20" i="37" s="1"/>
  <c r="G4" i="37"/>
  <c r="F4" i="37"/>
  <c r="E4" i="37"/>
  <c r="D4" i="37"/>
  <c r="C4" i="37"/>
  <c r="B4" i="37"/>
  <c r="C6" i="8"/>
  <c r="C7" i="8"/>
  <c r="C8" i="8"/>
  <c r="C9" i="8"/>
  <c r="C10" i="8"/>
  <c r="C11" i="8"/>
  <c r="C12" i="8"/>
  <c r="C13" i="8"/>
  <c r="C5" i="8"/>
  <c r="B22" i="18"/>
  <c r="B23" i="18"/>
  <c r="B24" i="18"/>
  <c r="B25" i="18"/>
  <c r="B26" i="18"/>
  <c r="B27" i="18"/>
  <c r="B28" i="18"/>
  <c r="B29" i="18"/>
  <c r="B21" i="18"/>
  <c r="E33" i="17"/>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E28" i="17"/>
  <c r="F28" i="17"/>
  <c r="H4" i="32"/>
  <c r="H20" i="32" s="1"/>
  <c r="G4" i="32"/>
  <c r="F4" i="32"/>
  <c r="E4" i="32"/>
  <c r="D4" i="32"/>
  <c r="C4" i="32"/>
  <c r="B4" i="32"/>
  <c r="H15" i="20"/>
  <c r="H14" i="20"/>
  <c r="H13" i="20"/>
  <c r="H12" i="20"/>
  <c r="K13" i="20"/>
  <c r="J13" i="20"/>
  <c r="H4" i="31"/>
  <c r="H20" i="31" s="1"/>
  <c r="G4" i="31"/>
  <c r="F4" i="31"/>
  <c r="E4" i="31"/>
  <c r="D4" i="31"/>
  <c r="C4" i="31"/>
  <c r="B4" i="31"/>
  <c r="H4" i="30"/>
  <c r="H20" i="30" s="1"/>
  <c r="G4" i="30"/>
  <c r="F4" i="30"/>
  <c r="E4" i="30"/>
  <c r="D4" i="30"/>
  <c r="C4" i="30"/>
  <c r="B4" i="30"/>
  <c r="E12" i="17"/>
  <c r="F12" i="17"/>
  <c r="H20" i="34" l="1"/>
  <c r="H4" i="10"/>
  <c r="H20" i="10" s="1"/>
  <c r="H4" i="12"/>
  <c r="H4" i="15"/>
  <c r="H20" i="15" s="1"/>
  <c r="H4" i="13"/>
  <c r="H20" i="13" s="1"/>
  <c r="H4" i="14"/>
  <c r="H20" i="14" s="1"/>
  <c r="H4" i="16"/>
  <c r="H20" i="16" s="1"/>
  <c r="H4" i="19"/>
  <c r="H20" i="19" s="1"/>
  <c r="H4" i="20"/>
  <c r="H20" i="20" s="1"/>
  <c r="H4" i="21"/>
  <c r="H20" i="21" s="1"/>
  <c r="H4" i="22"/>
  <c r="H20" i="22" s="1"/>
  <c r="H4" i="24"/>
  <c r="H4" i="26"/>
  <c r="H20" i="26" s="1"/>
  <c r="H4" i="27"/>
  <c r="H20" i="27" s="1"/>
  <c r="H4" i="29"/>
  <c r="H20" i="29" s="1"/>
  <c r="E9" i="17"/>
  <c r="F9" i="17"/>
  <c r="E10" i="17"/>
  <c r="F10" i="17"/>
  <c r="E11" i="17"/>
  <c r="F11" i="17"/>
  <c r="E13" i="17"/>
  <c r="F13" i="17"/>
  <c r="E14" i="17"/>
  <c r="F14" i="17"/>
  <c r="G4" i="29" l="1"/>
  <c r="F4" i="29"/>
  <c r="E4" i="29"/>
  <c r="D4" i="29"/>
  <c r="C4" i="29"/>
  <c r="B4" i="29"/>
  <c r="G4" i="27"/>
  <c r="F4" i="27"/>
  <c r="E4" i="27"/>
  <c r="D4" i="27"/>
  <c r="C4" i="27"/>
  <c r="B4" i="27"/>
  <c r="G4" i="26"/>
  <c r="F4" i="26"/>
  <c r="E4" i="26"/>
  <c r="D4" i="26"/>
  <c r="C4" i="26"/>
  <c r="B4" i="26"/>
  <c r="G12" i="7"/>
  <c r="B14" i="7"/>
  <c r="F14" i="7"/>
  <c r="G4" i="24"/>
  <c r="F4" i="24"/>
  <c r="E4" i="24"/>
  <c r="D4" i="24"/>
  <c r="C4" i="24"/>
  <c r="B4" i="24"/>
  <c r="I4" i="24" s="1"/>
  <c r="H20" i="24" s="1"/>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G4" i="15"/>
  <c r="F4" i="15"/>
  <c r="E4" i="15"/>
  <c r="D4" i="15"/>
  <c r="C4" i="15"/>
  <c r="B4" i="15"/>
  <c r="G4" i="12"/>
  <c r="F4" i="12"/>
  <c r="E4" i="12"/>
  <c r="D4" i="12"/>
  <c r="C4" i="12"/>
  <c r="B4" i="12"/>
  <c r="G4" i="10"/>
  <c r="F4" i="10"/>
  <c r="E4" i="10"/>
  <c r="D4" i="10"/>
  <c r="C4" i="10"/>
  <c r="B4" i="10"/>
  <c r="E23" i="17"/>
  <c r="F23" i="17"/>
  <c r="B8" i="17"/>
  <c r="B7" i="17"/>
  <c r="B6" i="17"/>
  <c r="F17" i="17"/>
  <c r="F15" i="17"/>
  <c r="F8" i="17"/>
  <c r="F18" i="17"/>
  <c r="F20" i="17"/>
  <c r="F16" i="17"/>
  <c r="F27" i="17"/>
  <c r="F7" i="17"/>
  <c r="F22" i="17"/>
  <c r="F6" i="17"/>
  <c r="F19" i="17"/>
  <c r="F24" i="17"/>
  <c r="F21" i="17"/>
  <c r="F25" i="17"/>
  <c r="F26" i="17"/>
  <c r="E17" i="17"/>
  <c r="E15" i="17"/>
  <c r="E8" i="17"/>
  <c r="E18" i="17"/>
  <c r="E20" i="17"/>
  <c r="E16" i="17"/>
  <c r="E27" i="17"/>
  <c r="E7" i="17"/>
  <c r="E22" i="17"/>
  <c r="E6" i="17"/>
  <c r="E19" i="17"/>
  <c r="E24" i="17"/>
  <c r="E21" i="17"/>
  <c r="E25" i="17"/>
  <c r="E26" i="17"/>
  <c r="D12" i="17"/>
  <c r="D19" i="17"/>
  <c r="D33" i="17"/>
  <c r="D25" i="17"/>
  <c r="G4" i="3"/>
  <c r="H9" i="20"/>
  <c r="K11" i="20"/>
  <c r="K10" i="20"/>
  <c r="J11" i="20"/>
  <c r="H11" i="20" s="1"/>
  <c r="J10" i="20"/>
  <c r="H10" i="20" s="1"/>
  <c r="F40" i="17" l="1"/>
  <c r="C9" i="48"/>
  <c r="C21" i="48" s="1"/>
  <c r="D11" i="8"/>
  <c r="D9" i="8"/>
  <c r="D6" i="8"/>
  <c r="D5" i="8"/>
  <c r="D7" i="8"/>
  <c r="D8" i="8"/>
  <c r="D10" i="8"/>
  <c r="D12" i="8"/>
  <c r="F4" i="48"/>
  <c r="C24" i="48" s="1"/>
  <c r="C20" i="11"/>
  <c r="C19" i="11"/>
  <c r="C18" i="11"/>
  <c r="C10" i="11"/>
  <c r="C17" i="11"/>
  <c r="C9" i="11"/>
  <c r="C16" i="11"/>
  <c r="C15" i="11"/>
  <c r="C14" i="11"/>
  <c r="C13" i="11"/>
  <c r="C12" i="11"/>
  <c r="C11" i="11"/>
  <c r="H12" i="8"/>
  <c r="C28" i="18"/>
  <c r="K12" i="8"/>
  <c r="D28" i="18" s="1"/>
  <c r="K13" i="8"/>
  <c r="D29" i="18" s="1"/>
  <c r="E29" i="18" s="1"/>
  <c r="K7" i="8"/>
  <c r="D23" i="18" s="1"/>
  <c r="K8" i="8"/>
  <c r="D24" i="18" s="1"/>
  <c r="K9" i="8"/>
  <c r="D25" i="18" s="1"/>
  <c r="K11" i="8"/>
  <c r="D27" i="18" s="1"/>
  <c r="D28" i="17"/>
  <c r="D14" i="17"/>
  <c r="D22" i="17"/>
  <c r="D21" i="17"/>
  <c r="D17" i="17"/>
  <c r="D24" i="17"/>
  <c r="D7" i="17"/>
  <c r="D27" i="17"/>
  <c r="D16" i="17"/>
  <c r="D13" i="17"/>
  <c r="D20" i="17"/>
  <c r="D11" i="17"/>
  <c r="D18" i="17"/>
  <c r="D10" i="17"/>
  <c r="D8" i="17"/>
  <c r="D9" i="17"/>
  <c r="D6" i="17"/>
  <c r="D15" i="17"/>
  <c r="G7" i="7"/>
  <c r="G8" i="7"/>
  <c r="G13" i="7"/>
  <c r="G6" i="7"/>
  <c r="G9" i="7"/>
  <c r="G10" i="7"/>
  <c r="G5" i="7"/>
  <c r="G14" i="7" s="1"/>
  <c r="G11" i="7"/>
  <c r="D26" i="17"/>
  <c r="D23" i="17"/>
  <c r="B14" i="18"/>
  <c r="B13" i="18"/>
  <c r="B12" i="18"/>
  <c r="B11" i="18"/>
  <c r="B10" i="18"/>
  <c r="B9" i="18"/>
  <c r="B8" i="18"/>
  <c r="B7" i="18"/>
  <c r="B6" i="18"/>
  <c r="R39" i="3" l="1"/>
  <c r="Q4" i="3"/>
  <c r="C21" i="11"/>
  <c r="G17" i="7"/>
  <c r="C23" i="18"/>
  <c r="H7" i="8"/>
  <c r="H13" i="8"/>
  <c r="C29" i="18"/>
  <c r="C24" i="18"/>
  <c r="H8" i="8"/>
  <c r="L8" i="8" s="1"/>
  <c r="H11" i="8"/>
  <c r="C27" i="18"/>
  <c r="H5" i="8"/>
  <c r="C21" i="18"/>
  <c r="C26" i="18"/>
  <c r="H10" i="8"/>
  <c r="H6" i="8"/>
  <c r="C22" i="18"/>
  <c r="H9" i="8"/>
  <c r="C25" i="18"/>
  <c r="E23" i="18"/>
  <c r="L7" i="8"/>
  <c r="L13" i="8"/>
  <c r="E27" i="18"/>
  <c r="L11" i="8"/>
  <c r="L12" i="8"/>
  <c r="E28" i="18"/>
  <c r="E25" i="18"/>
  <c r="L9" i="8"/>
  <c r="H10" i="13"/>
  <c r="H10" i="12"/>
  <c r="H11" i="12" s="1"/>
  <c r="H20" i="12" s="1"/>
  <c r="B6" i="8"/>
  <c r="B7" i="8"/>
  <c r="B8" i="8"/>
  <c r="B9" i="8"/>
  <c r="B10" i="8"/>
  <c r="B11" i="8"/>
  <c r="B12" i="8"/>
  <c r="B13" i="8"/>
  <c r="B5" i="8"/>
  <c r="G6" i="17" l="1"/>
  <c r="G40" i="17" s="1"/>
  <c r="D13" i="8"/>
  <c r="E24" i="18"/>
  <c r="Q38" i="3"/>
  <c r="Q43" i="3" s="1"/>
  <c r="H3" i="41"/>
  <c r="H32" i="41" s="1"/>
  <c r="H14" i="8"/>
  <c r="H11" i="13"/>
  <c r="C14" i="18"/>
  <c r="C11" i="18"/>
  <c r="C8" i="18"/>
  <c r="C7" i="18"/>
  <c r="C6" i="18"/>
  <c r="Q39" i="3" l="1"/>
  <c r="C9" i="18"/>
  <c r="C10" i="18"/>
  <c r="C12" i="18"/>
  <c r="C13" i="18"/>
  <c r="C14" i="8"/>
  <c r="C14" i="7"/>
  <c r="C17" i="7" l="1"/>
  <c r="C4" i="11"/>
  <c r="C15" i="18"/>
  <c r="Q41" i="3" s="1"/>
  <c r="Q45" i="3" s="1"/>
  <c r="T41" i="3" l="1"/>
  <c r="T43" i="3" s="1"/>
  <c r="C5" i="11"/>
  <c r="D21" i="11" l="1"/>
  <c r="C24" i="11"/>
  <c r="D41" i="1"/>
  <c r="D24" i="11" l="1"/>
  <c r="C23" i="48"/>
  <c r="C26" i="48" s="1"/>
  <c r="J42" i="41"/>
  <c r="I32" i="41"/>
  <c r="I60" i="41"/>
  <c r="F12" i="8"/>
  <c r="F7" i="8"/>
  <c r="F11" i="8"/>
  <c r="G11" i="8" s="1"/>
  <c r="F8" i="8"/>
  <c r="J41" i="41"/>
  <c r="F13" i="8"/>
  <c r="J60" i="41" l="1"/>
  <c r="D8" i="18"/>
  <c r="E8" i="18" s="1"/>
  <c r="G7" i="8"/>
  <c r="D13" i="18"/>
  <c r="E13" i="18" s="1"/>
  <c r="G12" i="8"/>
  <c r="G8" i="8"/>
  <c r="D9" i="18"/>
  <c r="E9" i="18" s="1"/>
  <c r="D14" i="18"/>
  <c r="E14" i="18" s="1"/>
  <c r="G13" i="8"/>
  <c r="J3" i="41"/>
  <c r="J32" i="41" s="1"/>
  <c r="L32" i="41" s="1"/>
  <c r="K56" i="41" s="1"/>
  <c r="K60" i="41" s="1"/>
  <c r="F9" i="8"/>
  <c r="D12" i="18"/>
  <c r="E12" i="18" s="1"/>
  <c r="G9" i="8" l="1"/>
  <c r="D10" i="18"/>
  <c r="E10" i="18" s="1"/>
  <c r="T29" i="3"/>
  <c r="I10" i="8" s="1"/>
  <c r="H31" i="17" l="1"/>
  <c r="I20" i="8"/>
  <c r="F10" i="8"/>
  <c r="L60" i="41"/>
  <c r="F5" i="8"/>
  <c r="I23" i="8" l="1"/>
  <c r="I22" i="8"/>
  <c r="J5" i="8" s="1"/>
  <c r="G5" i="8"/>
  <c r="D6" i="18"/>
  <c r="D11" i="18"/>
  <c r="E11" i="18" s="1"/>
  <c r="G10" i="8"/>
  <c r="J10" i="8" l="1"/>
  <c r="K10" i="8" s="1"/>
  <c r="K5" i="8"/>
  <c r="I24" i="8"/>
  <c r="E6" i="18"/>
  <c r="S38" i="3"/>
  <c r="T46" i="3" s="1"/>
  <c r="T47" i="3" s="1"/>
  <c r="T49" i="3" s="1"/>
  <c r="I14" i="8"/>
  <c r="T30" i="3"/>
  <c r="T38" i="3" s="1"/>
  <c r="C18" i="7" s="1"/>
  <c r="C19" i="7" s="1"/>
  <c r="F6" i="8"/>
  <c r="H32" i="17" l="1"/>
  <c r="H40" i="17" s="1"/>
  <c r="D21" i="18"/>
  <c r="E21" i="18" s="1"/>
  <c r="L5" i="8"/>
  <c r="D26" i="18"/>
  <c r="E26" i="18" s="1"/>
  <c r="L10" i="8"/>
  <c r="G18" i="7"/>
  <c r="G19" i="7" s="1"/>
  <c r="D14" i="8"/>
  <c r="G6" i="8"/>
  <c r="G14" i="8" s="1"/>
  <c r="F14" i="8"/>
  <c r="D7" i="18"/>
  <c r="K6" i="8"/>
  <c r="D22" i="18" s="1"/>
  <c r="D30" i="18" l="1"/>
  <c r="D15" i="18"/>
  <c r="E7" i="18"/>
  <c r="E15" i="18" s="1"/>
  <c r="K14" i="8"/>
  <c r="L6" i="8"/>
  <c r="L14" i="8" s="1"/>
  <c r="C30" i="18" l="1"/>
  <c r="E22" i="18"/>
  <c r="E3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tc={08FDBB7B-1C2A-4B25-87EE-E5D1E2497356}</author>
    <author>tc={CD0EAA3A-8612-41AC-AEA9-2402CC95F0F9}</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I26" authorId="2"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List>
</comments>
</file>

<file path=xl/sharedStrings.xml><?xml version="1.0" encoding="utf-8"?>
<sst xmlns="http://schemas.openxmlformats.org/spreadsheetml/2006/main" count="1173" uniqueCount="381">
  <si>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</si>
  <si>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</si>
  <si>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</si>
  <si>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</si>
  <si>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</si>
  <si>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</si>
  <si>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</si>
  <si>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</si>
  <si>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</si>
  <si>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</si>
  <si>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</si>
  <si>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</si>
  <si>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</si>
  <si>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</si>
  <si>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</si>
  <si>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</si>
  <si>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</si>
  <si>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</si>
  <si>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</si>
  <si>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</si>
  <si>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</si>
  <si>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</si>
  <si>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</si>
  <si>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</si>
  <si>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</si>
  <si>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</si>
  <si>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</si>
  <si>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</si>
  <si>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</si>
  <si>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</si>
  <si>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</si>
  <si>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</si>
  <si>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</si>
  <si>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</si>
  <si>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</si>
  <si>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</si>
  <si>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</si>
  <si>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</si>
  <si>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</si>
  <si>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</si>
  <si>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</si>
  <si>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</si>
  <si>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</si>
  <si>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</si>
  <si>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</si>
  <si>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</si>
  <si>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</si>
  <si>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</si>
  <si>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</si>
  <si>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</si>
  <si>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</si>
  <si>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</si>
  <si>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</si>
  <si>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</si>
  <si>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</si>
  <si>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</si>
  <si>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</si>
  <si>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</si>
  <si>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</si>
  <si>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</si>
  <si>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</si>
  <si>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</si>
  <si>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</si>
  <si>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</si>
  <si>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</si>
  <si>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</si>
  <si>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</si>
  <si>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</si>
  <si>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</si>
  <si>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</si>
  <si>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</si>
  <si>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</si>
  <si>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</si>
  <si>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</si>
  <si>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</si>
  <si>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</si>
  <si>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</si>
  <si>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</si>
  <si>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</si>
  <si>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</si>
  <si>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</si>
  <si>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</si>
  <si>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</si>
  <si>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</si>
  <si>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</si>
  <si>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</si>
  <si>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</si>
  <si>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</si>
  <si>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</si>
  <si>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</si>
  <si>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</si>
  <si>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</si>
  <si>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</si>
  <si>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</si>
  <si>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</si>
  <si>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</si>
  <si>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</si>
  <si>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</si>
  <si>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</si>
  <si>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</si>
  <si>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</si>
  <si>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</si>
  <si>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</si>
  <si>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</si>
  <si>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</si>
  <si>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</si>
  <si>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</si>
  <si>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</si>
  <si>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</si>
  <si>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</si>
  <si>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</si>
  <si>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</si>
  <si>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</si>
  <si>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</si>
  <si>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</si>
  <si>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</si>
  <si>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</si>
  <si>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</si>
  <si>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</si>
  <si>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</si>
  <si>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</si>
  <si>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</si>
  <si>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</si>
  <si>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</si>
  <si>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</si>
  <si>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</si>
  <si>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</si>
  <si>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</si>
  <si>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</si>
  <si>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</si>
  <si>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</si>
  <si>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</si>
  <si>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</si>
  <si>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</si>
  <si>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</si>
  <si>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</si>
  <si>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</si>
  <si>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</si>
  <si>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</si>
  <si>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</si>
  <si>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</si>
  <si>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</si>
  <si>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</si>
  <si>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</si>
  <si>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</si>
  <si>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</si>
  <si>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</si>
  <si>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</si>
  <si>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</si>
  <si>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</si>
  <si>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</si>
  <si>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</si>
  <si>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</si>
  <si>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</si>
  <si>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</si>
  <si>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</si>
  <si>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</si>
  <si>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</si>
  <si>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</si>
  <si>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</si>
  <si>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</si>
  <si>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</si>
  <si>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</si>
  <si>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</si>
  <si>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</si>
  <si>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</si>
  <si>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</si>
  <si>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</si>
  <si>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</si>
  <si>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</si>
  <si>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</si>
  <si>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</si>
  <si>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</si>
  <si>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</si>
  <si>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</si>
  <si>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</si>
  <si>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</si>
  <si>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</si>
  <si>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</si>
  <si>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</si>
  <si>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</si>
  <si>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</si>
  <si>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</si>
  <si>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</si>
  <si>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</si>
  <si>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</si>
  <si>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</si>
  <si>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</si>
  <si>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</si>
  <si>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</si>
  <si>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</si>
  <si>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</si>
  <si>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</si>
  <si>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</si>
  <si>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</si>
  <si>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</si>
  <si>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</si>
  <si>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</si>
  <si>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</si>
  <si>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</si>
  <si>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</si>
  <si>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</si>
  <si>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</si>
  <si>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</si>
  <si>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</si>
  <si>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</si>
  <si>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</si>
  <si>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</si>
  <si>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</si>
  <si>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</si>
  <si>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</si>
  <si>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</si>
  <si>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</si>
  <si>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</si>
  <si>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</si>
  <si>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</si>
  <si>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</si>
  <si>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</si>
  <si>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</si>
  <si>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</si>
  <si>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</si>
  <si>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</si>
  <si>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</si>
  <si>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</si>
  <si>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</si>
  <si>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</si>
  <si>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</si>
  <si>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</si>
  <si>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</si>
  <si>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</si>
  <si>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</si>
  <si>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</si>
  <si>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</si>
  <si>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</si>
  <si>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</si>
  <si>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</si>
  <si>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</si>
  <si>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</si>
  <si>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</si>
  <si>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</si>
  <si>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</si>
  <si>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</si>
  <si>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</si>
  <si>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</si>
  <si>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</si>
  <si>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</si>
  <si>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</si>
  <si>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</si>
  <si>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</si>
  <si>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</si>
  <si>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</si>
  <si>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</si>
  <si>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 xml:space="preserve">Estimated 
FY24 FRP </t>
  </si>
  <si>
    <t>Estimated FRP</t>
  </si>
  <si>
    <t>Contribution vs. Estimated</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</si>
  <si>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</si>
  <si>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</si>
  <si>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</si>
  <si>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</si>
  <si>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</si>
  <si>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</si>
  <si>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</si>
  <si>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</si>
  <si>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</si>
  <si>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</si>
  <si>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</si>
  <si>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</si>
  <si>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</si>
  <si>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</si>
  <si>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</si>
  <si>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</si>
  <si>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</si>
  <si>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</si>
  <si>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</si>
  <si>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</si>
  <si>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</si>
  <si>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</si>
  <si>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</si>
  <si>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</si>
  <si>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03/22/2023 Project is in closeout.</t>
  </si>
  <si>
    <t>Total transfers from FRP cash</t>
  </si>
  <si>
    <t>crowhus_03312023_FRP</t>
  </si>
  <si>
    <t>Chris to provide next priority projects to add to list (elevators, roofs, etc.)</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</si>
  <si>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</si>
  <si>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</si>
  <si>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</si>
  <si>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</si>
  <si>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</si>
  <si>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</si>
  <si>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</si>
  <si>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</si>
  <si>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</si>
  <si>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Divinity - AHU 5N (5 &amp; 6) Replacement</t>
  </si>
  <si>
    <t>Divinity - AHU 1N (1&amp;3) Replacement with Benton</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</si>
  <si>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</si>
  <si>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</si>
  <si>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</si>
  <si>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</si>
  <si>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</si>
  <si>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</si>
  <si>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</si>
  <si>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</si>
  <si>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</si>
  <si>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</si>
  <si>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</si>
  <si>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</si>
  <si>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</si>
  <si>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</si>
  <si>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One Magnolia - elevator modernization (2024)?</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</si>
  <si>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</si>
  <si>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</si>
  <si>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</si>
  <si>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</si>
  <si>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</si>
  <si>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</si>
  <si>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</si>
  <si>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</si>
  <si>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</si>
  <si>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</si>
  <si>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</si>
  <si>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</si>
  <si>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</si>
  <si>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</si>
  <si>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</si>
  <si>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</si>
  <si>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</si>
  <si>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</si>
  <si>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</si>
  <si>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</si>
  <si>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Transferred FRP</t>
  </si>
  <si>
    <t>FY23</t>
  </si>
  <si>
    <t>FY24</t>
  </si>
  <si>
    <t>FY23 FRP</t>
  </si>
  <si>
    <t xml:space="preserve">FY23 FRP funding </t>
  </si>
  <si>
    <t xml:space="preserve">FY24 estimated FRP funding </t>
  </si>
  <si>
    <t>JE LOG_FY24'!A1</t>
  </si>
  <si>
    <t>Frist - replace roof (small section over stairwell) - waiting for eB #</t>
  </si>
  <si>
    <t>Vaughn - roof, (phase 2) - summer 2024?</t>
  </si>
  <si>
    <t>crowhus_08072023_FRP</t>
  </si>
  <si>
    <t>Wilson Hall - HVAC Replacement</t>
  </si>
  <si>
    <t>SC5 - HVAC Replacement</t>
  </si>
  <si>
    <t>Finalized</t>
  </si>
  <si>
    <t>Programming or Planning</t>
  </si>
  <si>
    <t>07/21/2023 Project Complete</t>
  </si>
  <si>
    <t>07/24/2023 We have met with SSR who is working on marking up our CD's to break the project up into phases. SSR has sent over a CA proposal which is under review by the plant. We will get a PO to SSR after review and expect to receive drawings in August, at which point we will put the project out to bid.</t>
  </si>
  <si>
    <t>07/25/2023 work is complete.</t>
  </si>
  <si>
    <t>07/24/2023 Cab interior has been installed.  The new mechanical room has been built.  HVAC system has been installed.  Roof tie-in to be finished this week.</t>
  </si>
  <si>
    <t>07/28/2023 Project currently being bid.</t>
  </si>
  <si>
    <t>08/01/2023 Construction is underway and the interior renovation will be completed in August for A&amp;S to use as swing space during the Garland Hall renovation. Additional items included in the project scope of work that will be completed after August include replacement of the roof mechanical units and roof repairs.</t>
  </si>
  <si>
    <t>07/28/2023 Project currently being budgeted for work next year...</t>
  </si>
  <si>
    <t>07/24/2023 Ladder needs to be installed, windows need to be cleaned and a wall needs to be sanded</t>
  </si>
  <si>
    <t>07/24/2023 Window repairs and painting completed.  Fourth floor windows are installed and interior repairs have been made.  Exterior of the windows need to be painted.</t>
  </si>
  <si>
    <t>07/25/2023 We have completed the VAV install including piping and insulation. Anderson is now working on the filter racks in the rooftop mechanical room. Beech is doing some minor drywall repair and painting on the lower levels. Project should be complete in August.</t>
  </si>
  <si>
    <t>07/24/2023 Penthouse elevator is complete.  Second elevator is to be completed before school starts.</t>
  </si>
  <si>
    <t>07/24/2023 Primary roof installation is nearing completion.  Final crane day is scheduled for 07/28.  Final metal work will be completed by mid august.</t>
  </si>
  <si>
    <t>07/24/2023 We are awaiting pumps which should be delivered and installed in August. All other work has been completed.</t>
  </si>
  <si>
    <t>05/22/2023 on hold</t>
  </si>
  <si>
    <t>07/24/2023 Work is complete.  Final walkthrough to be scheduled.</t>
  </si>
  <si>
    <t>07/24/2023 Primary scope of work is completed.  Door replacement will be scheduled once the door is received.</t>
  </si>
  <si>
    <t>07/30/2023 We have ahead one meeting for design and Envision has completed some preliminary work to get this started. We are awaiting a system type decision.</t>
  </si>
  <si>
    <t>07/30/2023 We have about 50% design complete, we are awaiting some decisions from the occupants of Keck FEL on future needs for exhaust ducting. We have also gotten approval for pre-construction funding to get a better schedule, logistics and cost</t>
  </si>
  <si>
    <t>07/25/2023 Design is at 90% complete. We have performed one radio survey and will be performing another with a separate company to see if the same issues exist. Our findings will be included in the design in case we need repeaters. Hoping to have design complete before the end of the summer to start bidding this project.</t>
  </si>
  <si>
    <t>07/24/2023 All equipment related to the steam generator has been removed, and valves have been installed on AHUs. We are finishing controls this week and will start on insulation after they are complete. These are the only remaining portions of the project, expect to be complete end of July/early August</t>
  </si>
  <si>
    <t>07/25/2023 We have a meeting scheduled to determine the scope of work for this project. Hoping Paul Goodman can tell us which direction to take this project.</t>
  </si>
  <si>
    <t>07/24/2023 Construction complete.  Elevator passed all inspections.  Working on the closeout process.</t>
  </si>
  <si>
    <t>08/01/2023 Construction has been delayed by official inspections and late material changes. Once the overhead work is complete, construction will be complete in late August.</t>
  </si>
  <si>
    <t>07/21/2023 Bids due on July 31, 2023</t>
  </si>
  <si>
    <t>07/21/2023 Project currently being bid...</t>
  </si>
  <si>
    <t>07/24/2023 Brick tuckpointing is complete.  Roof replacement and repairs are starting this week.</t>
  </si>
  <si>
    <t>07/24/2023 Project has been bid out but due to scheduling we expect this project ot be completed over the winter break.</t>
  </si>
  <si>
    <t>07/24/2023 Project is complete. I will begin closeout after taking some final photos of the space.</t>
  </si>
  <si>
    <t>07/24/2023 Working with appropriate parties to determine scope of work. Project to go out to bid in August.</t>
  </si>
  <si>
    <t>07/24/2023 Roof replacement is underway.  Tear off is complete.</t>
  </si>
  <si>
    <t>New project for engineering study.</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</si>
  <si>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</si>
  <si>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</si>
  <si>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</si>
  <si>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</si>
  <si>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SC5 - Chemical Discharge Replacement</t>
  </si>
  <si>
    <t>SC7 Chemistry - SG-1 Removal and Connection to Central Plant Steam</t>
  </si>
  <si>
    <t>SC7 - Roof replacement (CUI / Stevenson),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</si>
</sst>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sz val="11"/>
      <color rgb="FF7030A0"/>
      <name val="Calibri"/>
      <family val="2"/>
      <scheme val="minor"/>
    </font>
    <font>
      <u/>
      <sz val="11"/>
      <color theme="8" tint="-0.499984740745262"/>
      <name val="Calibri"/>
      <family val="2"/>
      <scheme val="minor"/>
    </font>
  </fonts>
  <fills count="34">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s>
  <borders count="1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cellStyleXfs>
  <cellXfs count="221">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8"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8" fontId="2" fillId="23" borderId="0" xfId="4" applyNumberFormat="1" applyFont="1" applyFill="1"/>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49" fontId="13" fillId="16" borderId="0" xfId="6">
      <protection locked="0"/>
    </xf>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0" xfId="0" applyFont="1" applyAlignment="1">
      <alignment horizontal="left" vertical="center" indent="1"/>
    </xf>
    <xf numFmtId="0" fontId="26" fillId="0" borderId="6" xfId="10" applyFont="1" applyBorder="1" applyAlignment="1">
      <alignment horizontal="left" vertical="center" readingOrder="1"/>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cellXfs>
  <cellStyles count="17">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pivotCacheDefinition" Target="pivotCache/pivotCacheDefinition1.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07/relationships/slicerCache" Target="slicerCaches/slicerCache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1362</xdr:colOff>
      <xdr:row>33</xdr:row>
      <xdr:rowOff>170090</xdr:rowOff>
    </xdr:from>
    <xdr:to>
      <xdr:col>5</xdr:col>
      <xdr:colOff>581025</xdr:colOff>
      <xdr:row>38</xdr:row>
      <xdr:rowOff>1</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1362" y="6161315"/>
          <a:ext cx="5894613" cy="73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FRP indicates expected funding to be transferred back to the school from FRP program funds. Please note, facility renewal projects may span multiple fiscal years, as such projects may receive funding from multiple fiscal years.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16</xdr:col>
      <xdr:colOff>630809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44904</xdr:colOff>
      <xdr:row>41</xdr:row>
      <xdr:rowOff>28575</xdr:rowOff>
    </xdr:from>
    <xdr:to>
      <xdr:col>7</xdr:col>
      <xdr:colOff>781050</xdr:colOff>
      <xdr:row>45</xdr:row>
      <xdr:rowOff>39462</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83029" y="7277100"/>
          <a:ext cx="10508796" cy="734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estimated FYxx FRP indicates expected funding to be transferred back to the school from FRP program funds collected during FYxx.</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306163</xdr:colOff>
      <xdr:row>4</xdr:row>
      <xdr:rowOff>84363</xdr:rowOff>
    </xdr:from>
    <xdr:to>
      <xdr:col>14</xdr:col>
      <xdr:colOff>608226</xdr:colOff>
      <xdr:row>11</xdr:row>
      <xdr:rowOff>65394</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1469463" y="812345"/>
              <a:ext cx="1616514" cy="12464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317042</xdr:colOff>
      <xdr:row>4</xdr:row>
      <xdr:rowOff>95248</xdr:rowOff>
    </xdr:from>
    <xdr:to>
      <xdr:col>12</xdr:col>
      <xdr:colOff>46149</xdr:colOff>
      <xdr:row>34</xdr:row>
      <xdr:rowOff>28586</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8850081" y="821870"/>
              <a:ext cx="2362161" cy="45298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55788</xdr:colOff>
      <xdr:row>4</xdr:row>
      <xdr:rowOff>84364</xdr:rowOff>
    </xdr:from>
    <xdr:to>
      <xdr:col>8</xdr:col>
      <xdr:colOff>54429</xdr:colOff>
      <xdr:row>20</xdr:row>
      <xdr:rowOff>104776</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6618513" y="808264"/>
              <a:ext cx="1973037" cy="25826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15</xdr:col>
      <xdr:colOff>210501</xdr:colOff>
      <xdr:row>58</xdr:row>
      <xdr:rowOff>11832</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22</xdr:row>
      <xdr:rowOff>31296</xdr:rowOff>
    </xdr:from>
    <xdr:to>
      <xdr:col>8</xdr:col>
      <xdr:colOff>521897</xdr:colOff>
      <xdr:row>43</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503037</xdr:colOff>
      <xdr:row>58</xdr:row>
      <xdr:rowOff>10469</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17</xdr:col>
      <xdr:colOff>475040</xdr:colOff>
      <xdr:row>58</xdr:row>
      <xdr:rowOff>10471</xdr:rowOff>
    </xdr:to>
    <xdr:pic>
      <xdr:nvPicPr>
        <xdr:cNvPr id="2" name="Picture 1">
          <a:extLst>
            <a:ext uri="{FF2B5EF4-FFF2-40B4-BE49-F238E27FC236}">
              <a16:creationId xmlns:a16="http://schemas.microsoft.com/office/drawing/2014/main" id="{7E69CEF5-3453-4CBD-BA31-819B334527BF}"/>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74840</xdr:colOff>
      <xdr:row>21</xdr:row>
      <xdr:rowOff>57150</xdr:rowOff>
    </xdr:from>
    <xdr:to>
      <xdr:col>12</xdr:col>
      <xdr:colOff>207529</xdr:colOff>
      <xdr:row>29</xdr:row>
      <xdr:rowOff>66875</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74840" y="3857625"/>
          <a:ext cx="12525771" cy="1458885"/>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145.821993171296" createdVersion="8" refreshedVersion="8" minRefreshableVersion="3" recordCount="34" xr:uid="{150581CD-300E-410E-A6F8-D9AB8B03A606}">
  <cacheSource type="worksheet">
    <worksheetSource ref="B3:V37" sheet="Project Status"/>
  </cacheSource>
  <cacheFields count="21">
    <cacheField name="Capex / Opex" numFmtId="0">
      <sharedItems count="3">
        <s v="Operating"/>
        <s v="Capital"/>
        <s v="TBD"/>
      </sharedItems>
    </cacheField>
    <cacheField name="eBuilder" numFmtId="0">
      <sharedItems containsSemiMixedTypes="0" containsString="0" containsNumber="1" containsInteger="1" minValue="10085" maxValue="20833"/>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19">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haredItems>
    </cacheField>
    <cacheField name="Project" numFmtId="0">
      <sharedItems/>
    </cacheField>
    <cacheField name="Phase" numFmtId="0">
      <sharedItems/>
    </cacheField>
    <cacheField name="Manager" numFmtId="0">
      <sharedItems/>
    </cacheField>
    <cacheField name="Estimated total budget" numFmtId="164">
      <sharedItems containsString="0" containsBlank="1" containsNumber="1" minValue="17500" maxValue="4500000"/>
    </cacheField>
    <cacheField name="Approved budget" numFmtId="164">
      <sharedItems containsSemiMixedTypes="0" containsString="0" containsNumber="1" minValue="0" maxValue="2790000"/>
    </cacheField>
    <cacheField name="Approved commitments" numFmtId="164">
      <sharedItems containsSemiMixedTypes="0" containsString="0" containsNumber="1" minValue="0" maxValue="1856897.5"/>
    </cacheField>
    <cacheField name="Projected commitments" numFmtId="164">
      <sharedItems containsSemiMixedTypes="0" containsString="0" containsNumber="1" minValue="0" maxValue="1868830.92"/>
    </cacheField>
    <cacheField name="Invoices Approved" numFmtId="164">
      <sharedItems containsSemiMixedTypes="0" containsString="0" containsNumber="1" minValue="0" maxValue="1352423.14"/>
    </cacheField>
    <cacheField name="FY23 FRP Cash Transferred" numFmtId="164">
      <sharedItems containsString="0" containsBlank="1" containsNumber="1" minValue="0" maxValue="1232681"/>
    </cacheField>
    <cacheField name="FY24 FRP Transferred" numFmtId="164">
      <sharedItems containsString="0" containsBlank="1" containsNumber="1" containsInteger="1" minValue="0" maxValue="1028900"/>
    </cacheField>
    <cacheField name="FY24 FRP Estimated" numFmtId="164">
      <sharedItems containsBlank="1" containsMixedTypes="1" containsNumber="1" minValue="0" maxValue="3730137.5"/>
    </cacheField>
    <cacheField name="FY24 FRP Total Contribution" numFmtId="164">
      <sharedItems containsString="0" containsBlank="1" containsNumber="1" minValue="0" maxValue="3730137.5"/>
    </cacheField>
    <cacheField name="FY25 FRP Estimated" numFmtId="164">
      <sharedItems containsBlank="1" containsMixedTypes="1" containsNumber="1" containsInteger="1" minValue="0" maxValue="0"/>
    </cacheField>
    <cacheField name="Project status update" numFmtId="0">
      <sharedItems longText="1"/>
    </cacheField>
  </cacheFields>
  <extLst>
    <ext xmlns:x14="http://schemas.microsoft.com/office/spreadsheetml/2009/9/main" uri="{725AE2AE-9491-48be-B2B4-4EB974FC3084}">
      <x14:pivotCacheDefinition pivotCacheId="53240953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x v="0"/>
    <n v="10085"/>
    <n v="4591"/>
    <m/>
    <x v="0"/>
    <x v="0"/>
    <x v="0"/>
    <s v="One Magnolia Circle - Modify/Upgrade Electrical and Grounding"/>
    <s v="Finalized"/>
    <s v="Sean Rewers"/>
    <n v="17500"/>
    <n v="22000"/>
    <n v="17500"/>
    <n v="17500"/>
    <n v="17500"/>
    <n v="17500"/>
    <n v="0"/>
    <n v="0"/>
    <n v="0"/>
    <n v="0"/>
    <s v="03/22/2023 Project is in closeout."/>
  </r>
  <r>
    <x v="1"/>
    <n v="10098"/>
    <n v="1627"/>
    <s v="CP_400023"/>
    <x v="1"/>
    <x v="1"/>
    <x v="1"/>
    <s v="MRB III - 4th Floor - Replace Controls (Phase 2)"/>
    <s v="Warranty or Construction Closeout"/>
    <s v="Hans Mooy"/>
    <n v="1216485.5"/>
    <n v="1216485.5"/>
    <n v="1212059.54"/>
    <n v="1212059.54"/>
    <n v="1212059.54"/>
    <n v="1216485.5"/>
    <n v="0"/>
    <n v="0"/>
    <n v="0"/>
    <n v="0"/>
    <s v="07/21/2023 Project Complete"/>
  </r>
  <r>
    <x v="1"/>
    <n v="10146"/>
    <n v="4418"/>
    <s v="CP_400025"/>
    <x v="2"/>
    <x v="2"/>
    <x v="2"/>
    <s v="Godchaux Hall - HVAC Upgrade"/>
    <s v="Design"/>
    <s v="Sean Rewers"/>
    <m/>
    <n v="62100"/>
    <n v="62100"/>
    <n v="62100"/>
    <n v="62100"/>
    <n v="4900"/>
    <n v="0"/>
    <s v="TBD"/>
    <n v="0"/>
    <s v="TBD"/>
    <s v="07/24/2023 We have met with SSR who is working on marking up our CD's to break the project up into phases. SSR has sent over a CA proposal which is under review by the plant. We will get a PO to SSR after review and expect to receive drawings in August, at which point we will put the project out to bid."/>
  </r>
  <r>
    <x v="1"/>
    <n v="20179"/>
    <n v="36015"/>
    <s v="CP_400024"/>
    <x v="3"/>
    <x v="3"/>
    <x v="3"/>
    <s v="Law School - Fire Alarm System Replacement"/>
    <s v="Warranty or Construction Closeout"/>
    <s v="Bob Grummon"/>
    <n v="1445389"/>
    <n v="1445389"/>
    <n v="1352423.14"/>
    <n v="1352423.14"/>
    <n v="1352423.14"/>
    <n v="722694.5"/>
    <n v="0"/>
    <n v="0"/>
    <n v="0"/>
    <n v="0"/>
    <s v="07/25/2023 work is complete."/>
  </r>
  <r>
    <x v="1"/>
    <n v="20336"/>
    <n v="20075"/>
    <s v="CP_400056"/>
    <x v="4"/>
    <x v="4"/>
    <x v="4"/>
    <s v="Blair School of Music - Elevator #3 Modernization"/>
    <s v="Construction"/>
    <s v="Ben Bedock"/>
    <n v="327890"/>
    <n v="327890"/>
    <n v="280600"/>
    <n v="280600"/>
    <n v="168775"/>
    <n v="327890"/>
    <n v="0"/>
    <n v="0"/>
    <n v="0"/>
    <n v="0"/>
    <s v="07/24/2023 Cab interior has been installed.  The new mechanical room has been built.  HVAC system has been installed.  Roof tie-in to be finished this week."/>
  </r>
  <r>
    <x v="1"/>
    <n v="20431"/>
    <n v="8084"/>
    <s v="CP_400108"/>
    <x v="5"/>
    <x v="5"/>
    <x v="5"/>
    <s v="Divinity - AHU 5N (5 &amp; 6) Replacement"/>
    <s v="Construction"/>
    <s v="Hans Mooy"/>
    <n v="3800000"/>
    <n v="139640"/>
    <n v="126225"/>
    <n v="126225"/>
    <n v="100186.22"/>
    <n v="69862.5"/>
    <n v="0"/>
    <n v="3730137.5"/>
    <n v="3730137.5"/>
    <n v="0"/>
    <s v="07/28/2023 Project currently being bid."/>
  </r>
  <r>
    <x v="1"/>
    <n v="20478"/>
    <n v="8672"/>
    <s v="CP_400182"/>
    <x v="6"/>
    <x v="6"/>
    <x v="6"/>
    <s v="Bryan Building - Swing Space Renovation - A&amp;S Planning"/>
    <s v="Construction"/>
    <s v="Cathy Bartlett"/>
    <n v="2900000"/>
    <n v="2790000"/>
    <n v="1856897.5"/>
    <n v="1868830.92"/>
    <n v="416357.5"/>
    <n v="81100"/>
    <n v="1028900"/>
    <n v="0"/>
    <n v="1028900"/>
    <n v="0"/>
    <s v="08/01/2023 Construction is underway and the interior renovation will be completed in August for A&amp;S to use as swing space during the Garland Hall renovation. Additional items included in the project scope of work that will be completed after August include replacement of the roof mechanical units and roof repairs."/>
  </r>
  <r>
    <x v="1"/>
    <n v="20489"/>
    <n v="8051"/>
    <s v="CP_400183"/>
    <x v="5"/>
    <x v="5"/>
    <x v="5"/>
    <s v="Divinity - AHU 1N (1&amp;3) Replacement with Benton"/>
    <s v="Design"/>
    <s v="Hans Mooy"/>
    <n v="3726000"/>
    <n v="26500"/>
    <n v="15895"/>
    <n v="15895"/>
    <n v="12712.5"/>
    <n v="26500"/>
    <n v="0"/>
    <n v="0"/>
    <n v="0"/>
    <s v="TBD"/>
    <s v="07/28/2023 Project currently being budgeted for work next year..."/>
  </r>
  <r>
    <x v="1"/>
    <n v="20497"/>
    <n v="529"/>
    <s v="CP_400127"/>
    <x v="0"/>
    <x v="0"/>
    <x v="7"/>
    <s v="Jesup - Roof Replacement"/>
    <s v="Construction"/>
    <s v="Ben Bedock"/>
    <n v="456850"/>
    <n v="456850"/>
    <n v="412000"/>
    <n v="412000"/>
    <n v="407000"/>
    <n v="79415.5"/>
    <n v="0"/>
    <n v="0"/>
    <n v="0"/>
    <n v="0"/>
    <s v="07/24/2023 Ladder needs to be installed, windows need to be cleaned and a wall needs to be sanded"/>
  </r>
  <r>
    <x v="1"/>
    <n v="20506"/>
    <n v="1170"/>
    <s v="CP_400192"/>
    <x v="0"/>
    <x v="0"/>
    <x v="8"/>
    <s v="Wyatt Center - Window Replacement"/>
    <s v="Warranty or Construction Closeout"/>
    <s v="Ben Bedock"/>
    <n v="344155.26"/>
    <n v="344155.26"/>
    <n v="307776.26"/>
    <n v="307776.26"/>
    <n v="105654.62"/>
    <n v="344155.26"/>
    <n v="0"/>
    <n v="0"/>
    <n v="0"/>
    <n v="0"/>
    <s v="07/24/2023 Window repairs and painting completed.  Fourth floor windows are installed and interior repairs have been made.  Exterior of the windows need to be painted."/>
  </r>
  <r>
    <x v="1"/>
    <n v="20562"/>
    <n v="4564"/>
    <s v="CP_400175"/>
    <x v="0"/>
    <x v="0"/>
    <x v="8"/>
    <s v="Wyatt Center - VAV Replacement"/>
    <s v="Construction"/>
    <s v="Sean Rewers"/>
    <n v="400000"/>
    <n v="405791"/>
    <n v="362559.64"/>
    <n v="362559.64"/>
    <n v="362559.64"/>
    <n v="405791"/>
    <n v="0"/>
    <n v="0"/>
    <n v="0"/>
    <n v="0"/>
    <s v="07/25/2023 We have completed the VAV install including piping and insulation. Anderson is now working on the filter racks in the rooftop mechanical room. Beech is doing some minor drywall repair and painting on the lower levels. Project should be complete in August."/>
  </r>
  <r>
    <x v="2"/>
    <n v="20563"/>
    <n v="4624"/>
    <m/>
    <x v="7"/>
    <x v="7"/>
    <x v="9"/>
    <s v="Keck FEL - Roof Replacement"/>
    <s v="Not Started"/>
    <s v="Ben Bedock"/>
    <n v="386000"/>
    <n v="0"/>
    <n v="0"/>
    <n v="0"/>
    <n v="0"/>
    <n v="0"/>
    <n v="0"/>
    <n v="0"/>
    <n v="0"/>
    <s v="TBD"/>
    <s v="03/24/2023 Working with appropriate parties to determine scope of work."/>
  </r>
  <r>
    <x v="1"/>
    <n v="20566"/>
    <n v="20054"/>
    <s v="CP_400151"/>
    <x v="6"/>
    <x v="6"/>
    <x v="10"/>
    <s v="SC Chemistry (SC7) - Elevator 1 &amp; 2 Modernization"/>
    <s v="Construction"/>
    <s v="Ben Bedock"/>
    <n v="781870"/>
    <n v="781870"/>
    <n v="722586.68"/>
    <n v="722586.68"/>
    <n v="549550.68000000005"/>
    <n v="781870"/>
    <n v="0"/>
    <n v="0"/>
    <n v="0"/>
    <n v="0"/>
    <s v="07/24/2023 Penthouse elevator is complete.  Second elevator is to be completed before school starts."/>
  </r>
  <r>
    <x v="1"/>
    <n v="20573"/>
    <n v="8047"/>
    <s v="CP_400185"/>
    <x v="0"/>
    <x v="0"/>
    <x v="8"/>
    <s v="Wyatt Center - Roof Replacement"/>
    <s v="Construction"/>
    <s v="Ben Bedock"/>
    <n v="1232681"/>
    <n v="1232681"/>
    <n v="1113460"/>
    <n v="1113460"/>
    <n v="823000"/>
    <n v="1232681"/>
    <n v="0"/>
    <n v="0"/>
    <n v="0"/>
    <n v="0"/>
    <s v="07/24/2023 Primary roof installation is nearing completion.  Final crane day is scheduled for 07/28.  Final metal work will be completed by mid august."/>
  </r>
  <r>
    <x v="1"/>
    <n v="20574"/>
    <n v="8145"/>
    <s v="CP_400164"/>
    <x v="1"/>
    <x v="1"/>
    <x v="1"/>
    <s v="MRB III - Steam Coil Replacement"/>
    <s v="Construction"/>
    <s v="Sean Rewers"/>
    <n v="218202"/>
    <n v="218202"/>
    <n v="195665"/>
    <n v="195665"/>
    <n v="166360"/>
    <n v="218202"/>
    <n v="0"/>
    <n v="0"/>
    <n v="0"/>
    <n v="0"/>
    <s v="07/24/2023 We are awaiting pumps which should be delivered and installed in August. All other work has been completed."/>
  </r>
  <r>
    <x v="1"/>
    <n v="20577"/>
    <n v="8146"/>
    <s v="CP_400154"/>
    <x v="4"/>
    <x v="4"/>
    <x v="4"/>
    <s v="Blair School of Music - Air Handling Unit Replacement"/>
    <s v="Design"/>
    <s v="Hans Mooy"/>
    <n v="4500000"/>
    <n v="223000"/>
    <n v="220566.21"/>
    <n v="220566.21"/>
    <n v="185191.21"/>
    <n v="223000"/>
    <n v="0"/>
    <n v="0"/>
    <n v="0"/>
    <s v="TBD"/>
    <s v="05/22/2023 on hold"/>
  </r>
  <r>
    <x v="1"/>
    <n v="20644"/>
    <n v="8241"/>
    <s v="CP_400171"/>
    <x v="0"/>
    <x v="0"/>
    <x v="11"/>
    <s v="Peabody Administration - Envelope Repairs"/>
    <s v="Construction"/>
    <s v="Ben Bedock"/>
    <n v="630554"/>
    <n v="630554"/>
    <n v="571789"/>
    <n v="571789"/>
    <n v="175193.4"/>
    <n v="630554"/>
    <n v="0"/>
    <n v="0"/>
    <n v="0"/>
    <n v="0"/>
    <s v="07/24/2023 Work is complete.  Final walkthrough to be scheduled."/>
  </r>
  <r>
    <x v="0"/>
    <n v="20645"/>
    <n v="8239"/>
    <m/>
    <x v="6"/>
    <x v="6"/>
    <x v="12"/>
    <s v="Benson Old Central - Replace Soffit and Doors"/>
    <s v="Construction"/>
    <s v="Ben Bedock"/>
    <n v="125875"/>
    <n v="125875"/>
    <n v="112250"/>
    <n v="112250"/>
    <n v="85500"/>
    <n v="125875"/>
    <n v="0"/>
    <n v="0"/>
    <n v="0"/>
    <n v="0"/>
    <s v="07/24/2023 Primary scope of work is completed.  Door replacement will be scheduled once the door is received."/>
  </r>
  <r>
    <x v="1"/>
    <n v="20667"/>
    <n v="8168"/>
    <s v="CP_400160"/>
    <x v="7"/>
    <x v="7"/>
    <x v="13"/>
    <s v="1025 16th Avenue - Mechanical and Electrical Upgrades"/>
    <s v="Design"/>
    <s v="Sean Rewers"/>
    <m/>
    <n v="146500"/>
    <n v="146500"/>
    <n v="146500"/>
    <n v="0"/>
    <n v="146500"/>
    <n v="0"/>
    <n v="35000"/>
    <n v="35000"/>
    <n v="0"/>
    <s v="07/30/2023 We have ahead one meeting for design and Envision has completed some preliminary work to get this started. We are awaiting a system type decision."/>
  </r>
  <r>
    <x v="1"/>
    <n v="20668"/>
    <n v="8151"/>
    <s v="CP_400163"/>
    <x v="7"/>
    <x v="7"/>
    <x v="9"/>
    <s v="Keck FEL - Mechanical Upgrades"/>
    <s v="Design"/>
    <s v="Sean Rewers"/>
    <m/>
    <n v="206500"/>
    <n v="206500"/>
    <n v="206500"/>
    <n v="19170"/>
    <n v="206500"/>
    <n v="0"/>
    <n v="35000"/>
    <n v="35000"/>
    <n v="0"/>
    <s v="07/30/2023 We have about 50% design complete, we are awaiting some decisions from the occupants of Keck FEL on future needs for exhaust ducting. We have also gotten approval for pre-construction funding to get a better schedule, logistics and cost"/>
  </r>
  <r>
    <x v="1"/>
    <n v="20698"/>
    <n v="1138"/>
    <s v="CP_400168"/>
    <x v="6"/>
    <x v="6"/>
    <x v="14"/>
    <s v="Wilson Hall - Fire Alarm Replacement"/>
    <s v="Design"/>
    <s v="Sean Rewers"/>
    <m/>
    <n v="29250"/>
    <n v="29250"/>
    <n v="29250"/>
    <n v="21207.5"/>
    <n v="29250"/>
    <n v="0"/>
    <s v="TBD"/>
    <n v="0"/>
    <n v="0"/>
    <s v="07/25/2023 Design is at 90% complete. We have performed one radio survey and will be performing another with a separate company to see if the same issues exist. Our findings will be included in the design in case we need repeaters. Hoping to have design complete before the end of the summer to start bidding this project."/>
  </r>
  <r>
    <x v="0"/>
    <n v="20700"/>
    <n v="851"/>
    <m/>
    <x v="6"/>
    <x v="6"/>
    <x v="10"/>
    <s v="SC-7 Chemistry - SG-1 Removal and Connection to Central Plant Steam"/>
    <s v="Construction"/>
    <s v="Sean Rewers"/>
    <n v="80000"/>
    <n v="79623"/>
    <n v="72458.77"/>
    <n v="72458.77"/>
    <n v="72458.77"/>
    <n v="79623"/>
    <n v="0"/>
    <n v="0"/>
    <n v="0"/>
    <n v="0"/>
    <s v="07/24/2023 All equipment related to the steam generator has been removed, and valves have been installed on AHUs. We are finishing controls this week and will start on insulation after they are complete. These are the only remaining portions of the project, expect to be complete end of July/early August"/>
  </r>
  <r>
    <x v="1"/>
    <n v="20701"/>
    <n v="4399"/>
    <s v="CP_400198"/>
    <x v="6"/>
    <x v="6"/>
    <x v="15"/>
    <s v="SC-5 - Chemical Discharge Replacement"/>
    <s v="Award"/>
    <s v="Sean Rewers"/>
    <n v="500000"/>
    <n v="499093"/>
    <n v="0"/>
    <n v="0"/>
    <n v="0"/>
    <n v="499093"/>
    <n v="0"/>
    <n v="0"/>
    <n v="0"/>
    <n v="0"/>
    <s v="07/25/2023 We have a meeting scheduled to determine the scope of work for this project. Hoping Paul Goodman can tell us which direction to take this project."/>
  </r>
  <r>
    <x v="1"/>
    <n v="20702"/>
    <n v="8432"/>
    <s v="CP_400165"/>
    <x v="0"/>
    <x v="0"/>
    <x v="8"/>
    <s v="Wyatt Center - Elevator #2 Modernization"/>
    <s v="Warranty or Construction Closeout"/>
    <s v="Ben Bedock"/>
    <n v="225791"/>
    <n v="239341"/>
    <n v="209419"/>
    <n v="209419"/>
    <n v="205444"/>
    <n v="239341"/>
    <n v="0"/>
    <n v="0"/>
    <n v="0"/>
    <n v="0"/>
    <s v="07/24/2023 Construction complete.  Elevator passed all inspections.  Working on the closeout process."/>
  </r>
  <r>
    <x v="1"/>
    <n v="20718"/>
    <n v="8608"/>
    <s v="CP_400174"/>
    <x v="6"/>
    <x v="6"/>
    <x v="16"/>
    <s v="Buttrick Hall - 3rd Floor Inequality Renovations"/>
    <s v="Construction"/>
    <s v="Erin Fry"/>
    <n v="715000"/>
    <n v="715000"/>
    <n v="616510"/>
    <n v="617745.19999999995"/>
    <n v="175728.65"/>
    <n v="96166"/>
    <n v="0"/>
    <n v="0"/>
    <n v="0"/>
    <n v="0"/>
    <s v="08/01/2023 Construction has been delayed by official inspections and late material changes. Once the overhead work is complete, construction will be complete in late August."/>
  </r>
  <r>
    <x v="1"/>
    <n v="20723"/>
    <n v="1628"/>
    <s v="CP_400187"/>
    <x v="1"/>
    <x v="1"/>
    <x v="1"/>
    <s v="MRB III - 9th Floor (with 4 ,5 &amp; 8) - Replace Controls (Phase 3)"/>
    <s v="Bidding"/>
    <s v="Hans Mooy"/>
    <n v="1500000"/>
    <n v="160500"/>
    <n v="155232.51999999999"/>
    <n v="155232.51999999999"/>
    <n v="138257.51999999999"/>
    <n v="160500"/>
    <n v="0"/>
    <n v="1339500"/>
    <n v="1339500"/>
    <n v="0"/>
    <s v="07/21/2023 Bids due on July 31, 2023"/>
  </r>
  <r>
    <x v="1"/>
    <n v="20724"/>
    <n v="8557"/>
    <s v="CP_400178"/>
    <x v="4"/>
    <x v="4"/>
    <x v="4"/>
    <s v="Blair School of Music - Steam Line"/>
    <s v="Bidding"/>
    <s v="Hans Mooy"/>
    <n v="1500000"/>
    <n v="23400"/>
    <n v="21480"/>
    <n v="21480"/>
    <n v="12000"/>
    <n v="23400"/>
    <n v="0"/>
    <n v="1476600"/>
    <n v="1476600"/>
    <n v="0"/>
    <s v="07/21/2023 Project currently being bid..."/>
  </r>
  <r>
    <x v="0"/>
    <n v="20735"/>
    <n v="8226"/>
    <m/>
    <x v="8"/>
    <x v="8"/>
    <x v="17"/>
    <s v="Owen - Roof Replacement (Third Level)"/>
    <s v="Construction"/>
    <s v="Ben Bedock"/>
    <n v="300000"/>
    <n v="300000"/>
    <n v="276500"/>
    <n v="276500"/>
    <n v="24150"/>
    <n v="300000"/>
    <n v="0"/>
    <n v="0"/>
    <n v="0"/>
    <n v="0"/>
    <s v="07/24/2023 Brick tuckpointing is complete.  Roof replacement and repairs are starting this week."/>
  </r>
  <r>
    <x v="0"/>
    <n v="20767"/>
    <n v="8673"/>
    <m/>
    <x v="0"/>
    <x v="0"/>
    <x v="18"/>
    <s v="Six Magnolia Circle - Foundation Repairs"/>
    <s v="Design"/>
    <s v="Sean Rewers"/>
    <m/>
    <n v="0"/>
    <n v="0"/>
    <n v="0"/>
    <n v="0"/>
    <n v="0"/>
    <n v="0"/>
    <n v="35000"/>
    <n v="35000"/>
    <n v="0"/>
    <s v="07/24/2023 Project has been bid out but due to scheduling we expect this project ot be completed over the winter break."/>
  </r>
  <r>
    <x v="0"/>
    <n v="20771"/>
    <n v="8674"/>
    <m/>
    <x v="6"/>
    <x v="6"/>
    <x v="10"/>
    <s v="SC4 - Interstitial Space HVAC Modifications"/>
    <s v="Financial Closeout"/>
    <s v="Sean Rewers"/>
    <n v="25000"/>
    <n v="24997"/>
    <n v="17972"/>
    <n v="17972"/>
    <n v="17972"/>
    <n v="24997"/>
    <n v="0"/>
    <n v="0"/>
    <n v="0"/>
    <n v="0"/>
    <s v="07/24/2023 Project is complete. I will begin closeout after taking some final photos of the space."/>
  </r>
  <r>
    <x v="1"/>
    <n v="20772"/>
    <n v="8675"/>
    <m/>
    <x v="8"/>
    <x v="8"/>
    <x v="17"/>
    <s v="Owen - Roof Replacement (Slate Portion)"/>
    <s v="Programming or Planning"/>
    <s v="Ben Bedock"/>
    <m/>
    <n v="0"/>
    <n v="0"/>
    <n v="0"/>
    <n v="0"/>
    <n v="0"/>
    <n v="0"/>
    <s v="TBD"/>
    <n v="0"/>
    <n v="0"/>
    <s v="07/24/2023 Working with appropriate parties to determine scope of work. Project to go out to bid in August."/>
  </r>
  <r>
    <x v="1"/>
    <n v="20792"/>
    <n v="1035"/>
    <s v="CP_400206"/>
    <x v="3"/>
    <x v="3"/>
    <x v="3"/>
    <s v="Law School - Sections 1, 2, &amp; 3  Roof Replacement"/>
    <s v="Construction"/>
    <s v="Ben Bedock"/>
    <n v="400000"/>
    <n v="483440"/>
    <n v="441580"/>
    <n v="441580"/>
    <n v="0"/>
    <n v="483440"/>
    <n v="0"/>
    <n v="0"/>
    <n v="0"/>
    <n v="0"/>
    <s v="07/24/2023 Roof replacement is underway.  Tear off is complete."/>
  </r>
  <r>
    <x v="2"/>
    <n v="20832"/>
    <m/>
    <m/>
    <x v="6"/>
    <x v="6"/>
    <x v="14"/>
    <s v="Wilson Hall - HVAC Replacement"/>
    <s v="Not Started"/>
    <s v="Sean Rewers"/>
    <m/>
    <n v="0"/>
    <n v="0"/>
    <n v="0"/>
    <n v="0"/>
    <m/>
    <m/>
    <m/>
    <m/>
    <m/>
    <s v="New project for engineering study."/>
  </r>
  <r>
    <x v="2"/>
    <n v="20833"/>
    <m/>
    <m/>
    <x v="6"/>
    <x v="6"/>
    <x v="15"/>
    <s v="SC5 - HVAC Replacement"/>
    <s v="Not Started"/>
    <s v="Sean Rewers"/>
    <m/>
    <n v="0"/>
    <n v="0"/>
    <n v="0"/>
    <n v="0"/>
    <m/>
    <m/>
    <m/>
    <m/>
    <m/>
    <s v="New project for engineering stud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E29C2A-ABC8-40E3-94DB-5A760F43F370}"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4:C12" firstHeaderRow="0" firstDataRow="1" firstDataCol="1"/>
  <pivotFields count="21">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0">
        <item x="6"/>
        <item h="1" x="4"/>
        <item h="1" x="5"/>
        <item h="1" x="7"/>
        <item h="1" x="3"/>
        <item h="1" x="2"/>
        <item h="1" x="8"/>
        <item h="1" x="0"/>
        <item h="1" x="1"/>
        <item t="default"/>
      </items>
    </pivotField>
    <pivotField axis="axisRow" showAll="0">
      <items count="20">
        <item x="13"/>
        <item x="12"/>
        <item x="4"/>
        <item x="5"/>
        <item x="2"/>
        <item x="7"/>
        <item x="9"/>
        <item x="3"/>
        <item x="1"/>
        <item x="0"/>
        <item x="11"/>
        <item x="10"/>
        <item x="8"/>
        <item x="14"/>
        <item x="15"/>
        <item x="6"/>
        <item x="17"/>
        <item x="16"/>
        <item x="18"/>
        <item t="default"/>
      </items>
    </pivotField>
    <pivotField showAll="0"/>
    <pivotField showAll="0"/>
    <pivotField showAll="0"/>
    <pivotField dataField="1" numFmtId="165" showAll="0"/>
    <pivotField dataField="1" numFmtId="165" showAll="0"/>
    <pivotField numFmtId="165" showAll="0"/>
    <pivotField numFmtId="165" showAll="0"/>
    <pivotField numFmtId="165" showAll="0"/>
    <pivotField numFmtId="164" showAll="0"/>
    <pivotField showAll="0"/>
    <pivotField showAll="0"/>
    <pivotField showAll="0"/>
    <pivotField showAll="0"/>
    <pivotField showAll="0"/>
  </pivotFields>
  <rowFields count="2">
    <field x="4"/>
    <field x="6"/>
  </rowFields>
  <rowItems count="8">
    <i>
      <x/>
    </i>
    <i r="1">
      <x v="1"/>
    </i>
    <i r="1">
      <x v="11"/>
    </i>
    <i r="1">
      <x v="13"/>
    </i>
    <i r="1">
      <x v="14"/>
    </i>
    <i r="1">
      <x v="15"/>
    </i>
    <i r="1">
      <x v="17"/>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532409538">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532409538">
      <items count="19">
        <i x="12" s="1"/>
        <i x="6" s="1"/>
        <i x="16" s="1"/>
        <i x="10" s="1"/>
        <i x="15" s="1"/>
        <i x="14" s="1"/>
        <i x="13" s="1" nd="1"/>
        <i x="4" s="1" nd="1"/>
        <i x="5" s="1" nd="1"/>
        <i x="2" s="1" nd="1"/>
        <i x="7" s="1" nd="1"/>
        <i x="9" s="1" nd="1"/>
        <i x="3" s="1" nd="1"/>
        <i x="1" s="1" nd="1"/>
        <i x="0" s="1" nd="1"/>
        <i x="17" s="1" nd="1"/>
        <i x="11" s="1" nd="1"/>
        <i x="18" s="1" nd="1"/>
        <i x="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532409538">
      <items count="9">
        <i x="6" s="1"/>
        <i x="4"/>
        <i x="5"/>
        <i x="7"/>
        <i x="3"/>
        <i x="2"/>
        <i x="8"/>
        <i x="0"/>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ivotTable" Target="../pivotTables/pivotTable1.xml"/><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sheetData>
    <row r="2" spans="2:9" x14ac:dyDescent="0.4">
      <c r="I2" s="174"/>
    </row>
    <row r="4" spans="2:9" ht="20.6" x14ac:dyDescent="0.55000000000000004">
      <c r="B4" s="191" t="s">
        <v>309</v>
      </c>
    </row>
    <row r="6" spans="2:9" x14ac:dyDescent="0.4">
      <c r="B6" s="22" t="s">
        <v>310</v>
      </c>
    </row>
    <row r="7" spans="2:9" x14ac:dyDescent="0.4">
      <c r="B7" s="22" t="s">
        <v>315</v>
      </c>
    </row>
    <row r="8" spans="2:9" x14ac:dyDescent="0.4">
      <c r="I8" s="174"/>
    </row>
    <row r="10" spans="2:9" x14ac:dyDescent="0.4">
      <c r="B10" s="22" t="s">
        <v>318</v>
      </c>
    </row>
    <row r="11" spans="2:9" x14ac:dyDescent="0.4">
      <c r="B11" s="22" t="s">
        <v>311</v>
      </c>
    </row>
    <row r="12" spans="2:9" x14ac:dyDescent="0.4">
      <c r="B12" s="22" t="s">
        <v>316</v>
      </c>
    </row>
    <row r="13" spans="2:9" x14ac:dyDescent="0.4">
      <c r="B13" s="22" t="s">
        <v>317</v>
      </c>
    </row>
    <row r="14" spans="2:9" x14ac:dyDescent="0.4">
      <c r="B14" s="22" t="s">
        <v>319</v>
      </c>
    </row>
    <row r="15" spans="2:9" x14ac:dyDescent="0.4">
      <c r="B15" s="22" t="s">
        <v>320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Warranty or Construction Closeout</v>
      </c>
      <c r="G4" s="11" t="str">
        <f>VLOOKUP(A4,'Project Status'!C:K,9,FALSE)</f>
        <v>Hans Mooy</v>
      </c>
      <c r="H4" s="42">
        <f>VLOOKUP(A4,'Project Status'!C:M,11,FALSE)</f>
        <v>1216485.5</v>
      </c>
    </row>
    <row r="8" spans="1:11" x14ac:dyDescent="0.4">
      <c r="E8" s="43" t="s">
        <v>126</v>
      </c>
    </row>
    <row r="9" spans="1:11" x14ac:dyDescent="0.4">
      <c r="E9" s="22" t="s">
        <v>136</v>
      </c>
      <c r="F9" s="35">
        <v>44769</v>
      </c>
      <c r="H9" s="44">
        <v>1216485.5</v>
      </c>
    </row>
    <row r="13" spans="1:11" x14ac:dyDescent="0.4">
      <c r="F13" s="10"/>
      <c r="G13" s="10"/>
      <c r="H13" s="47"/>
    </row>
    <row r="18" spans="5:8" x14ac:dyDescent="0.4">
      <c r="E18" s="163" t="s">
        <v>280</v>
      </c>
      <c r="F18" s="164"/>
      <c r="G18" s="163"/>
      <c r="H18" s="165">
        <f>SUM(H9:H17)</f>
        <v>1216485.5</v>
      </c>
    </row>
    <row r="20" spans="5:8" x14ac:dyDescent="0.4">
      <c r="E20" s="166" t="s">
        <v>138</v>
      </c>
      <c r="F20" s="166"/>
      <c r="G20" s="166"/>
      <c r="H20" s="167">
        <f>H4-H18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100">
        <f>VLOOKUP(A4,'Project Status'!C:M,11,FALSE)</f>
        <v>62100</v>
      </c>
    </row>
    <row r="8" spans="1:11" x14ac:dyDescent="0.4">
      <c r="E8" s="43" t="s">
        <v>126</v>
      </c>
    </row>
    <row r="9" spans="1:11" x14ac:dyDescent="0.4">
      <c r="E9" s="22" t="s">
        <v>219</v>
      </c>
      <c r="F9" s="35" t="s">
        <v>148</v>
      </c>
      <c r="H9" s="44">
        <v>4900</v>
      </c>
    </row>
    <row r="10" spans="1:11" x14ac:dyDescent="0.4">
      <c r="E10" s="34" t="s">
        <v>223</v>
      </c>
      <c r="F10" s="20"/>
      <c r="G10" s="20"/>
      <c r="H10" s="81">
        <v>57200</v>
      </c>
    </row>
    <row r="11" spans="1:11" x14ac:dyDescent="0.4">
      <c r="H11" s="46">
        <f>SUM(H9:H10)</f>
        <v>62100</v>
      </c>
    </row>
    <row r="12" spans="1:11" x14ac:dyDescent="0.4">
      <c r="H12" s="47"/>
    </row>
    <row r="13" spans="1:11" x14ac:dyDescent="0.4">
      <c r="F13" s="10"/>
      <c r="G13" s="10"/>
      <c r="H13" s="47"/>
    </row>
    <row r="18" spans="5:8" x14ac:dyDescent="0.4">
      <c r="E18" s="163" t="s">
        <v>280</v>
      </c>
      <c r="F18" s="164"/>
      <c r="G18" s="163"/>
      <c r="H18" s="165">
        <f>H9</f>
        <v>4900</v>
      </c>
    </row>
    <row r="20" spans="5:8" x14ac:dyDescent="0.4">
      <c r="E20" s="166" t="s">
        <v>138</v>
      </c>
      <c r="F20" s="166"/>
      <c r="G20" s="166"/>
      <c r="H20" s="167">
        <f>H4-H11</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2">
        <f>VLOOKUP(A4,'Project Status'!C:M,11,FALSE)</f>
        <v>1445389</v>
      </c>
    </row>
    <row r="8" spans="1:11" x14ac:dyDescent="0.4">
      <c r="E8" s="43" t="s">
        <v>126</v>
      </c>
    </row>
    <row r="9" spans="1:11" x14ac:dyDescent="0.4">
      <c r="E9" s="22" t="s">
        <v>136</v>
      </c>
      <c r="F9" s="35">
        <v>44769</v>
      </c>
      <c r="H9" s="44">
        <v>722694.5</v>
      </c>
    </row>
    <row r="10" spans="1:11" x14ac:dyDescent="0.4">
      <c r="E10" s="34" t="s">
        <v>137</v>
      </c>
      <c r="F10" s="20"/>
      <c r="G10" s="20"/>
      <c r="H10" s="81">
        <f>H4*0.5</f>
        <v>722694.5</v>
      </c>
    </row>
    <row r="11" spans="1:11" x14ac:dyDescent="0.4">
      <c r="H11" s="46">
        <f>SUM(H9:H10)</f>
        <v>1445389</v>
      </c>
    </row>
    <row r="13" spans="1:11" x14ac:dyDescent="0.4">
      <c r="G13" s="10"/>
      <c r="H13" s="47"/>
    </row>
    <row r="18" spans="5:8" x14ac:dyDescent="0.4">
      <c r="E18" s="163" t="s">
        <v>280</v>
      </c>
      <c r="F18" s="164"/>
      <c r="G18" s="163"/>
      <c r="H18" s="165">
        <f>H9</f>
        <v>722694.5</v>
      </c>
    </row>
    <row r="20" spans="5:8" x14ac:dyDescent="0.4">
      <c r="E20" s="166" t="s">
        <v>138</v>
      </c>
      <c r="F20" s="166"/>
      <c r="G20" s="166"/>
      <c r="H20" s="167">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Construction</v>
      </c>
      <c r="G4" s="11" t="str">
        <f>VLOOKUP(A4,'Project Status'!C:K,9,FALSE)</f>
        <v>Ben Bedock</v>
      </c>
      <c r="H4" s="42">
        <f>VLOOKUP(A4,'Project Status'!C:M,11,FALSE)</f>
        <v>327890</v>
      </c>
    </row>
    <row r="8" spans="1:11" x14ac:dyDescent="0.4">
      <c r="E8" s="43" t="s">
        <v>126</v>
      </c>
    </row>
    <row r="9" spans="1:11" x14ac:dyDescent="0.4">
      <c r="E9" s="22" t="s">
        <v>168</v>
      </c>
      <c r="F9" s="35" t="s">
        <v>141</v>
      </c>
      <c r="H9" s="44">
        <v>12900</v>
      </c>
    </row>
    <row r="10" spans="1:11" x14ac:dyDescent="0.4">
      <c r="E10" s="22" t="s">
        <v>168</v>
      </c>
      <c r="F10" t="s">
        <v>148</v>
      </c>
      <c r="H10" s="45">
        <v>2200</v>
      </c>
    </row>
    <row r="11" spans="1:11" x14ac:dyDescent="0.4">
      <c r="E11" s="22" t="s">
        <v>219</v>
      </c>
      <c r="F11" t="s">
        <v>177</v>
      </c>
      <c r="H11" s="45">
        <v>312790</v>
      </c>
    </row>
    <row r="18" spans="5:8" x14ac:dyDescent="0.4">
      <c r="E18" s="163" t="s">
        <v>280</v>
      </c>
      <c r="F18" s="164"/>
      <c r="G18" s="163"/>
      <c r="H18" s="165">
        <f>SUM(H9:H17)</f>
        <v>327890</v>
      </c>
    </row>
    <row r="20" spans="5:8" x14ac:dyDescent="0.4">
      <c r="E20" s="166" t="s">
        <v>138</v>
      </c>
      <c r="F20" s="166"/>
      <c r="G20" s="166"/>
      <c r="H20" s="167">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9" t="s">
        <v>286</v>
      </c>
    </row>
    <row r="3" spans="1:12" x14ac:dyDescent="0.4">
      <c r="A3" s="39" t="s">
        <v>127</v>
      </c>
      <c r="B3" s="38" t="s">
        <v>128</v>
      </c>
      <c r="C3" s="39" t="s">
        <v>129</v>
      </c>
      <c r="D3" s="40" t="s">
        <v>86</v>
      </c>
      <c r="E3" s="40" t="s">
        <v>87</v>
      </c>
      <c r="F3" s="39" t="s">
        <v>130</v>
      </c>
      <c r="G3" s="39" t="s">
        <v>131</v>
      </c>
      <c r="H3" s="41" t="s">
        <v>132</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 AHU 5N (5 &amp; 6) Replacement</v>
      </c>
      <c r="F4" s="11" t="str">
        <f>VLOOKUP(A4,'Project Status'!C:J,8,FALSE)</f>
        <v>Construction</v>
      </c>
      <c r="G4" s="11" t="str">
        <f>VLOOKUP(A4,'Project Status'!C:K,9,FALSE)</f>
        <v>Hans Mooy</v>
      </c>
      <c r="H4" s="42">
        <f>VLOOKUP(A4,'Project Status'!C:M,11,FALSE)</f>
        <v>139640</v>
      </c>
    </row>
    <row r="5" spans="1:12" x14ac:dyDescent="0.4">
      <c r="H5" s="44"/>
    </row>
    <row r="6" spans="1:12" x14ac:dyDescent="0.4">
      <c r="H6" s="44"/>
      <c r="J6" s="79">
        <v>0.75</v>
      </c>
      <c r="K6" s="79">
        <v>0.25</v>
      </c>
    </row>
    <row r="7" spans="1:12" ht="15" thickBot="1" x14ac:dyDescent="0.45">
      <c r="H7" s="44"/>
      <c r="J7" s="80" t="s">
        <v>182</v>
      </c>
      <c r="K7" s="80" t="s">
        <v>183</v>
      </c>
    </row>
    <row r="8" spans="1:12" x14ac:dyDescent="0.4">
      <c r="E8" s="43" t="s">
        <v>126</v>
      </c>
      <c r="H8" s="44"/>
    </row>
    <row r="9" spans="1:12" x14ac:dyDescent="0.4">
      <c r="E9" s="34" t="s">
        <v>184</v>
      </c>
      <c r="H9" s="76">
        <f>39900+3000+3590</f>
        <v>46490</v>
      </c>
      <c r="J9" s="45"/>
      <c r="K9" s="45"/>
    </row>
    <row r="10" spans="1:12" x14ac:dyDescent="0.4">
      <c r="E10" s="22" t="s">
        <v>178</v>
      </c>
      <c r="F10" t="s">
        <v>177</v>
      </c>
      <c r="H10" s="44">
        <f>J10</f>
        <v>937.5</v>
      </c>
      <c r="I10" s="79"/>
      <c r="J10" s="45">
        <f>L10*J6</f>
        <v>937.5</v>
      </c>
      <c r="K10" s="45">
        <f>L10*K6</f>
        <v>312.5</v>
      </c>
      <c r="L10" s="75">
        <v>1250</v>
      </c>
    </row>
    <row r="11" spans="1:12" x14ac:dyDescent="0.4">
      <c r="E11" s="22" t="s">
        <v>178</v>
      </c>
      <c r="F11" s="35" t="s">
        <v>175</v>
      </c>
      <c r="H11" s="44">
        <f>J11</f>
        <v>61425</v>
      </c>
      <c r="J11" s="45">
        <f>L11*J6</f>
        <v>61425</v>
      </c>
      <c r="K11" s="45">
        <f>L11*K6</f>
        <v>20475</v>
      </c>
      <c r="L11" s="75">
        <v>81900</v>
      </c>
    </row>
    <row r="12" spans="1:12" x14ac:dyDescent="0.4">
      <c r="E12" s="34" t="s">
        <v>185</v>
      </c>
      <c r="F12" s="35"/>
      <c r="H12" s="76">
        <f>K10+K11</f>
        <v>20787.5</v>
      </c>
      <c r="J12" s="45"/>
      <c r="K12" s="45"/>
    </row>
    <row r="13" spans="1:12" x14ac:dyDescent="0.4">
      <c r="E13" s="22" t="s">
        <v>230</v>
      </c>
      <c r="F13" t="s">
        <v>225</v>
      </c>
      <c r="H13" s="112">
        <f>J13</f>
        <v>7500</v>
      </c>
      <c r="J13" s="45">
        <f>L13*J6</f>
        <v>7500</v>
      </c>
      <c r="K13" s="45">
        <f>L13*K6</f>
        <v>2500</v>
      </c>
      <c r="L13" s="75">
        <v>10000</v>
      </c>
    </row>
    <row r="14" spans="1:12" x14ac:dyDescent="0.4">
      <c r="E14" s="34" t="s">
        <v>231</v>
      </c>
      <c r="H14" s="110">
        <f>K13</f>
        <v>2500</v>
      </c>
      <c r="J14" s="45"/>
      <c r="K14" s="45"/>
    </row>
    <row r="15" spans="1:12" x14ac:dyDescent="0.4">
      <c r="H15" s="46">
        <f>SUM(H9:H14)</f>
        <v>139640</v>
      </c>
    </row>
    <row r="17" spans="5:8" x14ac:dyDescent="0.4">
      <c r="F17" s="10"/>
      <c r="G17" s="10"/>
      <c r="H17" s="78"/>
    </row>
    <row r="18" spans="5:8" x14ac:dyDescent="0.4">
      <c r="E18" s="163" t="s">
        <v>280</v>
      </c>
      <c r="F18" s="164"/>
      <c r="G18" s="163"/>
      <c r="H18" s="165">
        <f>H10+H11+H13</f>
        <v>69862.5</v>
      </c>
    </row>
    <row r="20" spans="5:8" x14ac:dyDescent="0.4">
      <c r="E20" s="166" t="s">
        <v>138</v>
      </c>
      <c r="F20" s="166"/>
      <c r="G20" s="166"/>
      <c r="H20" s="167">
        <f>H4-H15</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7.69140625" bestFit="1" customWidth="1"/>
    <col min="7" max="7" width="13.3046875" bestFit="1" customWidth="1"/>
    <col min="8" max="8" width="16.53515625" bestFit="1" customWidth="1"/>
    <col min="10" max="12" width="15" bestFit="1" customWidth="1"/>
  </cols>
  <sheetData>
    <row r="1" spans="1:12" x14ac:dyDescent="0.4">
      <c r="K1" s="169" t="s">
        <v>286</v>
      </c>
    </row>
    <row r="3" spans="1:12" x14ac:dyDescent="0.4">
      <c r="A3" s="39" t="s">
        <v>127</v>
      </c>
      <c r="B3" s="38" t="s">
        <v>128</v>
      </c>
      <c r="C3" s="39" t="s">
        <v>129</v>
      </c>
      <c r="D3" s="40" t="s">
        <v>86</v>
      </c>
      <c r="E3" s="40" t="s">
        <v>87</v>
      </c>
      <c r="F3" s="39" t="s">
        <v>130</v>
      </c>
      <c r="G3" s="39" t="s">
        <v>131</v>
      </c>
      <c r="H3" s="41" t="s">
        <v>132</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2">
        <f>VLOOKUP(A4,'Project Status'!C:M,11,FALSE)</f>
        <v>2790000</v>
      </c>
    </row>
    <row r="5" spans="1:12" x14ac:dyDescent="0.4">
      <c r="H5" s="44"/>
    </row>
    <row r="6" spans="1:12" x14ac:dyDescent="0.4">
      <c r="H6" s="44"/>
      <c r="J6" s="79"/>
      <c r="K6" s="79"/>
    </row>
    <row r="7" spans="1:12" ht="15" thickBot="1" x14ac:dyDescent="0.45">
      <c r="H7" s="44"/>
      <c r="J7" s="80" t="s">
        <v>182</v>
      </c>
      <c r="K7" s="80" t="s">
        <v>122</v>
      </c>
    </row>
    <row r="8" spans="1:12" x14ac:dyDescent="0.4">
      <c r="E8" s="43" t="s">
        <v>126</v>
      </c>
      <c r="H8" s="44"/>
    </row>
    <row r="9" spans="1:12" x14ac:dyDescent="0.4">
      <c r="E9" t="s">
        <v>244</v>
      </c>
      <c r="F9" t="s">
        <v>141</v>
      </c>
      <c r="H9" s="44">
        <f>J9</f>
        <v>12100</v>
      </c>
      <c r="J9" s="45">
        <v>12100</v>
      </c>
      <c r="K9" s="45">
        <v>6900</v>
      </c>
      <c r="L9" s="75">
        <v>19000</v>
      </c>
    </row>
    <row r="10" spans="1:12" x14ac:dyDescent="0.4">
      <c r="E10" s="34" t="s">
        <v>245</v>
      </c>
      <c r="F10" s="35"/>
      <c r="H10" s="76">
        <f>K9</f>
        <v>6900</v>
      </c>
      <c r="I10" s="79"/>
      <c r="J10" s="45"/>
      <c r="K10" s="45"/>
    </row>
    <row r="11" spans="1:12" x14ac:dyDescent="0.4">
      <c r="E11" s="175" t="s">
        <v>281</v>
      </c>
      <c r="F11" t="s">
        <v>218</v>
      </c>
      <c r="H11" s="44">
        <v>69000</v>
      </c>
      <c r="J11" s="45">
        <v>69000</v>
      </c>
      <c r="K11" s="45">
        <v>32500</v>
      </c>
      <c r="L11" s="75">
        <v>101500</v>
      </c>
    </row>
    <row r="12" spans="1:12" x14ac:dyDescent="0.4">
      <c r="E12" s="34" t="s">
        <v>245</v>
      </c>
      <c r="H12" s="110">
        <v>32500</v>
      </c>
      <c r="J12" s="45"/>
      <c r="K12" s="45"/>
    </row>
    <row r="13" spans="1:12" x14ac:dyDescent="0.4">
      <c r="E13" s="175" t="s">
        <v>374</v>
      </c>
      <c r="F13" t="s">
        <v>148</v>
      </c>
      <c r="H13" s="112">
        <f>SUM(1110000-H11-H9)</f>
        <v>1028900</v>
      </c>
      <c r="J13" s="44">
        <v>1028900</v>
      </c>
      <c r="K13" s="44">
        <v>1640600</v>
      </c>
      <c r="L13" s="75">
        <f>SUM(J13:K13)</f>
        <v>2669500</v>
      </c>
    </row>
    <row r="14" spans="1:12" x14ac:dyDescent="0.4">
      <c r="E14" s="34" t="s">
        <v>301</v>
      </c>
      <c r="H14" s="110">
        <f>SUM(1680000-H12-H10)</f>
        <v>1640600</v>
      </c>
      <c r="J14" s="45"/>
      <c r="K14" s="45"/>
    </row>
    <row r="15" spans="1:12" x14ac:dyDescent="0.4">
      <c r="F15" s="10"/>
      <c r="G15" s="10"/>
      <c r="H15" s="110"/>
    </row>
    <row r="16" spans="1:12" x14ac:dyDescent="0.4">
      <c r="H16" s="46">
        <f>SUM(H9:H14)</f>
        <v>2790000</v>
      </c>
    </row>
    <row r="18" spans="5:8" x14ac:dyDescent="0.4">
      <c r="E18" s="163" t="s">
        <v>280</v>
      </c>
      <c r="F18" s="164"/>
      <c r="G18" s="163"/>
      <c r="H18" s="165">
        <f>H9+H11+H13</f>
        <v>1110000</v>
      </c>
    </row>
    <row r="20" spans="5:8" x14ac:dyDescent="0.4">
      <c r="E20" s="166" t="s">
        <v>138</v>
      </c>
      <c r="F20" s="166"/>
      <c r="G20" s="166"/>
      <c r="H20" s="167">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 AHU 1N (1&amp;3) Replacement with Benton</v>
      </c>
      <c r="F4" s="11" t="str">
        <f>VLOOKUP(A4,'Project Status'!C:J,8,FALSE)</f>
        <v>Design</v>
      </c>
      <c r="G4" s="11" t="str">
        <f>VLOOKUP(A4,'Project Status'!C:K,9,FALSE)</f>
        <v>Hans Mooy</v>
      </c>
      <c r="H4" s="42">
        <f>VLOOKUP(A4,'Project Status'!C:M,11,FALSE)</f>
        <v>26500</v>
      </c>
    </row>
    <row r="5" spans="1:11" x14ac:dyDescent="0.4">
      <c r="H5" s="44"/>
    </row>
    <row r="6" spans="1:11" x14ac:dyDescent="0.4">
      <c r="H6" s="44"/>
      <c r="J6" s="79"/>
      <c r="K6" s="79"/>
    </row>
    <row r="7" spans="1:11" x14ac:dyDescent="0.4">
      <c r="H7" s="44"/>
    </row>
    <row r="8" spans="1:11" x14ac:dyDescent="0.4">
      <c r="E8" s="43" t="s">
        <v>126</v>
      </c>
      <c r="H8" s="44"/>
    </row>
    <row r="9" spans="1:11" x14ac:dyDescent="0.4">
      <c r="E9" t="s">
        <v>244</v>
      </c>
      <c r="F9" t="s">
        <v>141</v>
      </c>
      <c r="H9" s="44">
        <v>26500</v>
      </c>
    </row>
    <row r="10" spans="1:11" x14ac:dyDescent="0.4">
      <c r="E10" s="22"/>
      <c r="F10" s="35"/>
      <c r="H10" s="44"/>
    </row>
    <row r="11" spans="1:11" x14ac:dyDescent="0.4">
      <c r="E11" s="34"/>
      <c r="F11" s="34"/>
      <c r="G11" s="34"/>
      <c r="H11" s="34"/>
      <c r="I11" s="34"/>
    </row>
    <row r="12" spans="1:11" x14ac:dyDescent="0.4">
      <c r="E12" s="22"/>
      <c r="F12" s="22"/>
      <c r="G12" s="22"/>
      <c r="H12" s="22"/>
      <c r="I12" s="22"/>
    </row>
    <row r="13" spans="1:11" x14ac:dyDescent="0.4">
      <c r="E13" s="34"/>
      <c r="F13" s="34"/>
      <c r="G13" s="34"/>
      <c r="H13" s="34"/>
      <c r="I13" s="34"/>
    </row>
    <row r="14" spans="1:11" x14ac:dyDescent="0.4">
      <c r="J14" s="45"/>
      <c r="K14" s="45"/>
    </row>
    <row r="18" spans="5:8" x14ac:dyDescent="0.4">
      <c r="E18" s="163" t="s">
        <v>280</v>
      </c>
      <c r="F18" s="164"/>
      <c r="G18" s="163"/>
      <c r="H18" s="165">
        <f>SUM(H9:H17)</f>
        <v>26500</v>
      </c>
    </row>
    <row r="20" spans="5:8" x14ac:dyDescent="0.4">
      <c r="E20" s="166" t="s">
        <v>138</v>
      </c>
      <c r="F20" s="166"/>
      <c r="G20" s="166"/>
      <c r="H20" s="167">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4"/>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Construction</v>
      </c>
      <c r="G4" s="11" t="str">
        <f>VLOOKUP(A4,'Project Status'!C:K,9,FALSE)</f>
        <v>Ben Bedock</v>
      </c>
      <c r="H4" s="42">
        <f>VLOOKUP(A4,'Project Status'!C:M,11,FALSE)</f>
        <v>456850</v>
      </c>
    </row>
    <row r="8" spans="1:11" x14ac:dyDescent="0.4">
      <c r="E8" s="43" t="s">
        <v>126</v>
      </c>
    </row>
    <row r="9" spans="1:11" x14ac:dyDescent="0.4">
      <c r="E9" s="22" t="s">
        <v>136</v>
      </c>
      <c r="F9" s="35">
        <v>44769</v>
      </c>
      <c r="H9" s="44">
        <v>79415.5</v>
      </c>
    </row>
    <row r="10" spans="1:11" x14ac:dyDescent="0.4">
      <c r="E10" s="34" t="s">
        <v>139</v>
      </c>
      <c r="F10" s="20"/>
      <c r="G10" s="20"/>
      <c r="H10" s="81">
        <f>372434.5+5000</f>
        <v>377434.5</v>
      </c>
    </row>
    <row r="11" spans="1:11" x14ac:dyDescent="0.4">
      <c r="H11" s="46">
        <f>SUM(H9:H10)</f>
        <v>456850</v>
      </c>
    </row>
    <row r="13" spans="1:11" x14ac:dyDescent="0.4">
      <c r="F13" s="10"/>
      <c r="G13" s="10"/>
      <c r="H13" s="47"/>
    </row>
    <row r="18" spans="5:8" x14ac:dyDescent="0.4">
      <c r="E18" s="163" t="s">
        <v>280</v>
      </c>
      <c r="F18" s="164"/>
      <c r="G18" s="163"/>
      <c r="H18" s="165">
        <f>H9</f>
        <v>79415.5</v>
      </c>
    </row>
    <row r="20" spans="5:8" x14ac:dyDescent="0.4">
      <c r="E20" s="166" t="s">
        <v>138</v>
      </c>
      <c r="F20" s="166"/>
      <c r="G20" s="166"/>
      <c r="H20" s="167">
        <f>H4-H11</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Warranty or Construction Closeout</v>
      </c>
      <c r="G4" s="11" t="str">
        <f>VLOOKUP(A4,'Project Status'!C:K,9,FALSE)</f>
        <v>Ben Bedock</v>
      </c>
      <c r="H4" s="100">
        <f>VLOOKUP(A4,'Project Status'!C:M,11,FALSE)</f>
        <v>344155.26</v>
      </c>
    </row>
    <row r="8" spans="1:11" x14ac:dyDescent="0.4">
      <c r="E8" s="43" t="s">
        <v>126</v>
      </c>
    </row>
    <row r="9" spans="1:11" x14ac:dyDescent="0.4">
      <c r="E9" s="168" t="s">
        <v>281</v>
      </c>
      <c r="F9" s="35" t="s">
        <v>141</v>
      </c>
      <c r="H9" s="44">
        <v>344155.26</v>
      </c>
    </row>
    <row r="13" spans="1:11" x14ac:dyDescent="0.4">
      <c r="F13" s="10"/>
      <c r="G13" s="10"/>
      <c r="H13" s="47"/>
    </row>
    <row r="18" spans="5:8" x14ac:dyDescent="0.4">
      <c r="E18" s="163" t="s">
        <v>280</v>
      </c>
      <c r="F18" s="164"/>
      <c r="G18" s="163"/>
      <c r="H18" s="165">
        <f>SUM(H9:H17)</f>
        <v>344155.26</v>
      </c>
    </row>
    <row r="20" spans="5:8" x14ac:dyDescent="0.4">
      <c r="E20" s="166" t="s">
        <v>138</v>
      </c>
      <c r="F20" s="166"/>
      <c r="G20" s="166"/>
      <c r="H20" s="167">
        <f>H4-H18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100">
        <f>VLOOKUP(A4,'Project Status'!C:M,11,FALSE)</f>
        <v>405791</v>
      </c>
    </row>
    <row r="8" spans="1:11" x14ac:dyDescent="0.4">
      <c r="E8" s="43" t="s">
        <v>126</v>
      </c>
    </row>
    <row r="9" spans="1:11" x14ac:dyDescent="0.4">
      <c r="E9" s="22" t="s">
        <v>237</v>
      </c>
      <c r="F9" s="35" t="s">
        <v>141</v>
      </c>
      <c r="H9" s="44">
        <v>405791</v>
      </c>
    </row>
    <row r="13" spans="1:11" x14ac:dyDescent="0.4">
      <c r="F13" s="10"/>
      <c r="G13" s="10"/>
      <c r="H13" s="47"/>
    </row>
    <row r="18" spans="5:8" x14ac:dyDescent="0.4">
      <c r="E18" s="163" t="s">
        <v>280</v>
      </c>
      <c r="F18" s="164"/>
      <c r="G18" s="163"/>
      <c r="H18" s="165">
        <f>SUM(H9:H17)</f>
        <v>405791</v>
      </c>
    </row>
    <row r="20" spans="5:8" x14ac:dyDescent="0.4">
      <c r="E20" s="166" t="s">
        <v>138</v>
      </c>
      <c r="F20" s="166"/>
      <c r="G20" s="166"/>
      <c r="H20" s="167">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H32"/>
  <sheetViews>
    <sheetView tabSelected="1" zoomScaleNormal="100" workbookViewId="0">
      <selection activeCell="C2" sqref="C2"/>
    </sheetView>
  </sheetViews>
  <sheetFormatPr defaultRowHeight="14.6" x14ac:dyDescent="0.4"/>
  <cols>
    <col min="1" max="1" width="19.84375" customWidth="1"/>
    <col min="2" max="2" width="12.53515625" customWidth="1"/>
    <col min="3" max="5" width="14.3046875" customWidth="1"/>
  </cols>
  <sheetData>
    <row r="1" spans="1:8" s="8" customFormat="1" x14ac:dyDescent="0.4">
      <c r="A1" s="10" t="s">
        <v>193</v>
      </c>
      <c r="B1"/>
      <c r="C1"/>
      <c r="D1"/>
      <c r="E1"/>
    </row>
    <row r="2" spans="1:8" s="8" customFormat="1" x14ac:dyDescent="0.4">
      <c r="A2" s="96" t="s">
        <v>112</v>
      </c>
      <c r="B2" s="95">
        <v>45145</v>
      </c>
      <c r="C2"/>
      <c r="D2"/>
      <c r="E2"/>
    </row>
    <row r="4" spans="1:8" x14ac:dyDescent="0.4">
      <c r="A4" s="10" t="s">
        <v>234</v>
      </c>
      <c r="D4" s="70" t="s">
        <v>172</v>
      </c>
    </row>
    <row r="5" spans="1:8" ht="29.15" x14ac:dyDescent="0.4">
      <c r="A5" s="23" t="s">
        <v>86</v>
      </c>
      <c r="B5" s="66" t="s">
        <v>99</v>
      </c>
      <c r="C5" s="24" t="s">
        <v>88</v>
      </c>
      <c r="D5" s="29" t="s">
        <v>329</v>
      </c>
      <c r="E5" s="30" t="s">
        <v>254</v>
      </c>
    </row>
    <row r="6" spans="1:8" x14ac:dyDescent="0.4">
      <c r="A6" t="s">
        <v>198</v>
      </c>
      <c r="B6" s="21">
        <f>Contributions!B5</f>
        <v>1075461.7320675128</v>
      </c>
      <c r="C6" s="58">
        <f>'Shared Building Allocation'!C5*1000000</f>
        <v>3663826</v>
      </c>
      <c r="D6" s="59">
        <f>'Shared Building Allocation'!F5*1000000</f>
        <v>2276289.625</v>
      </c>
      <c r="E6" s="60">
        <f>C6-D6</f>
        <v>1387536.375</v>
      </c>
      <c r="H6" s="27"/>
    </row>
    <row r="7" spans="1:8" x14ac:dyDescent="0.4">
      <c r="A7" t="s">
        <v>200</v>
      </c>
      <c r="B7" s="21">
        <f>Contributions!B6</f>
        <v>121421.42689276834</v>
      </c>
      <c r="C7" s="67">
        <f>'Shared Building Allocation'!C6*1000000</f>
        <v>413652</v>
      </c>
      <c r="D7" s="68">
        <f>'Shared Building Allocation'!F6*1000000</f>
        <v>574290</v>
      </c>
      <c r="E7" s="69">
        <f t="shared" ref="E7:E14" si="0">C7-D7</f>
        <v>-160638</v>
      </c>
      <c r="H7" s="27"/>
    </row>
    <row r="8" spans="1:8" x14ac:dyDescent="0.4">
      <c r="A8" t="s">
        <v>201</v>
      </c>
      <c r="B8" s="21">
        <f>Contributions!B7</f>
        <v>57814.730923479161</v>
      </c>
      <c r="C8" s="67">
        <f>'Shared Building Allocation'!C7*1000000</f>
        <v>196960</v>
      </c>
      <c r="D8" s="68">
        <f>'Shared Building Allocation'!F7*1000000</f>
        <v>96362.5</v>
      </c>
      <c r="E8" s="69">
        <f t="shared" si="0"/>
        <v>100597.5</v>
      </c>
      <c r="H8" s="27"/>
    </row>
    <row r="9" spans="1:8" x14ac:dyDescent="0.4">
      <c r="A9" t="s">
        <v>202</v>
      </c>
      <c r="B9" s="21">
        <f>Contributions!B8</f>
        <v>537962.332719445</v>
      </c>
      <c r="C9" s="67">
        <f>'Shared Building Allocation'!C8*1000000</f>
        <v>1832701</v>
      </c>
      <c r="D9" s="68">
        <f>'Shared Building Allocation'!F8*1000000</f>
        <v>353000</v>
      </c>
      <c r="E9" s="69">
        <f t="shared" si="0"/>
        <v>1479701</v>
      </c>
      <c r="H9" s="27"/>
    </row>
    <row r="10" spans="1:8" x14ac:dyDescent="0.4">
      <c r="A10" t="s">
        <v>203</v>
      </c>
      <c r="B10" s="21">
        <f>Contributions!B9</f>
        <v>120155.48460329951</v>
      </c>
      <c r="C10" s="67">
        <f>'Shared Building Allocation'!C9*1000000</f>
        <v>409339</v>
      </c>
      <c r="D10" s="68">
        <f>'Shared Building Allocation'!F9*1000000</f>
        <v>1206134.5</v>
      </c>
      <c r="E10" s="69">
        <f t="shared" si="0"/>
        <v>-796795.5</v>
      </c>
      <c r="H10" s="27"/>
    </row>
    <row r="11" spans="1:8" x14ac:dyDescent="0.4">
      <c r="A11" t="s">
        <v>205</v>
      </c>
      <c r="B11" s="21">
        <f>Contributions!B10</f>
        <v>280022.39987629937</v>
      </c>
      <c r="C11" s="67">
        <f>'Shared Building Allocation'!C10*1000000</f>
        <v>953965</v>
      </c>
      <c r="D11" s="68">
        <f>'Shared Building Allocation'!F10*1000000</f>
        <v>1036871.8750000001</v>
      </c>
      <c r="E11" s="69">
        <f t="shared" si="0"/>
        <v>-82906.875000000116</v>
      </c>
      <c r="H11" s="27"/>
    </row>
    <row r="12" spans="1:8" x14ac:dyDescent="0.4">
      <c r="A12" t="s">
        <v>204</v>
      </c>
      <c r="B12" s="21">
        <f>Contributions!B11</f>
        <v>106166.70000000001</v>
      </c>
      <c r="C12" s="67">
        <f>'Shared Building Allocation'!C11*1000000</f>
        <v>361683</v>
      </c>
      <c r="D12" s="68">
        <f>'Shared Building Allocation'!F11*1000000</f>
        <v>4900</v>
      </c>
      <c r="E12" s="69">
        <f t="shared" si="0"/>
        <v>356783</v>
      </c>
      <c r="H12" s="27"/>
    </row>
    <row r="13" spans="1:8" x14ac:dyDescent="0.4">
      <c r="A13" t="s">
        <v>199</v>
      </c>
      <c r="B13" s="21">
        <f>Contributions!B12</f>
        <v>59008.361666666671</v>
      </c>
      <c r="C13" s="67">
        <f>'Shared Building Allocation'!C12*1000000</f>
        <v>201027</v>
      </c>
      <c r="D13" s="68">
        <f>'Shared Building Allocation'!F12*1000000</f>
        <v>300000</v>
      </c>
      <c r="E13" s="69">
        <f t="shared" si="0"/>
        <v>-98973</v>
      </c>
      <c r="H13" s="27"/>
    </row>
    <row r="14" spans="1:8" x14ac:dyDescent="0.4">
      <c r="A14" t="s">
        <v>206</v>
      </c>
      <c r="B14" s="21">
        <f>Contributions!B13</f>
        <v>390796.88477064227</v>
      </c>
      <c r="C14" s="67">
        <f>'Shared Building Allocation'!C13*1000000</f>
        <v>1331346</v>
      </c>
      <c r="D14" s="68">
        <f>'Shared Building Allocation'!F13*1000000</f>
        <v>2949437.76</v>
      </c>
      <c r="E14" s="69">
        <f t="shared" si="0"/>
        <v>-1618091.7599999998</v>
      </c>
      <c r="H14" s="27"/>
    </row>
    <row r="15" spans="1:8" x14ac:dyDescent="0.4">
      <c r="A15" s="25"/>
      <c r="B15" s="25">
        <v>2748810.0535201132</v>
      </c>
      <c r="C15" s="64">
        <f>SUM(C6:C14)</f>
        <v>9364499</v>
      </c>
      <c r="D15" s="63">
        <f>SUM(D6:D14)</f>
        <v>8797286.2599999998</v>
      </c>
      <c r="E15" s="62">
        <f>SUM(E6:E14)</f>
        <v>567212.74000000022</v>
      </c>
      <c r="H15" s="27"/>
    </row>
    <row r="16" spans="1:8" x14ac:dyDescent="0.4">
      <c r="A16" s="27"/>
      <c r="H16" s="27"/>
    </row>
    <row r="17" spans="1:8" x14ac:dyDescent="0.4">
      <c r="A17" s="27"/>
      <c r="H17" s="27"/>
    </row>
    <row r="18" spans="1:8" x14ac:dyDescent="0.4">
      <c r="A18" s="27"/>
      <c r="H18" s="27"/>
    </row>
    <row r="19" spans="1:8" s="20" customFormat="1" ht="14.7" customHeight="1" x14ac:dyDescent="0.4">
      <c r="A19" s="10" t="s">
        <v>255</v>
      </c>
      <c r="B19"/>
      <c r="C19"/>
      <c r="D19" s="70" t="s">
        <v>172</v>
      </c>
      <c r="E19"/>
    </row>
    <row r="20" spans="1:8" s="20" customFormat="1" ht="29.15" x14ac:dyDescent="0.4">
      <c r="A20" s="130" t="s">
        <v>86</v>
      </c>
      <c r="B20" s="131" t="s">
        <v>99</v>
      </c>
      <c r="C20" s="132" t="s">
        <v>88</v>
      </c>
      <c r="D20" s="136" t="s">
        <v>253</v>
      </c>
      <c r="E20" s="137" t="s">
        <v>254</v>
      </c>
    </row>
    <row r="21" spans="1:8" s="20" customFormat="1" x14ac:dyDescent="0.4">
      <c r="A21" t="s">
        <v>198</v>
      </c>
      <c r="B21" s="21">
        <f>Contributions!F5</f>
        <v>1059147</v>
      </c>
      <c r="C21" s="135">
        <f>Contributions!G5</f>
        <v>4204813.59</v>
      </c>
      <c r="D21" s="58">
        <f>'Shared Building Allocation'!K5*1000000</f>
        <v>1532725</v>
      </c>
      <c r="E21" s="139">
        <f>C21-D21</f>
        <v>2672088.59</v>
      </c>
    </row>
    <row r="22" spans="1:8" s="20" customFormat="1" x14ac:dyDescent="0.4">
      <c r="A22" t="s">
        <v>200</v>
      </c>
      <c r="B22" s="21">
        <f>Contributions!F6</f>
        <v>121421</v>
      </c>
      <c r="C22" s="135">
        <f>Contributions!G6</f>
        <v>482041.37</v>
      </c>
      <c r="D22" s="67">
        <f>'Shared Building Allocation'!K6*1000000</f>
        <v>1476600</v>
      </c>
      <c r="E22" s="140">
        <f t="shared" ref="E22:E28" si="1">C22-D22</f>
        <v>-994558.63</v>
      </c>
    </row>
    <row r="23" spans="1:8" s="20" customFormat="1" x14ac:dyDescent="0.4">
      <c r="A23" t="s">
        <v>201</v>
      </c>
      <c r="B23" s="21">
        <f>Contributions!F7</f>
        <v>58263</v>
      </c>
      <c r="C23" s="135">
        <f>Contributions!G7</f>
        <v>231304.11000000002</v>
      </c>
      <c r="D23" s="67">
        <f>'Shared Building Allocation'!K7*1000000</f>
        <v>3730137.5</v>
      </c>
      <c r="E23" s="140">
        <f t="shared" si="1"/>
        <v>-3498833.39</v>
      </c>
    </row>
    <row r="24" spans="1:8" s="20" customFormat="1" x14ac:dyDescent="0.4">
      <c r="A24" t="s">
        <v>202</v>
      </c>
      <c r="B24" s="21">
        <f>Contributions!F8</f>
        <v>552478</v>
      </c>
      <c r="C24" s="135">
        <f>Contributions!G8</f>
        <v>2193337.66</v>
      </c>
      <c r="D24" s="67">
        <f>'Shared Building Allocation'!K8*1000000</f>
        <v>70000</v>
      </c>
      <c r="E24" s="140">
        <f t="shared" si="1"/>
        <v>2123337.66</v>
      </c>
    </row>
    <row r="25" spans="1:8" x14ac:dyDescent="0.4">
      <c r="A25" t="s">
        <v>203</v>
      </c>
      <c r="B25" s="21">
        <f>Contributions!F9</f>
        <v>120155</v>
      </c>
      <c r="C25" s="135">
        <f>Contributions!G9</f>
        <v>477015.35000000003</v>
      </c>
      <c r="D25" s="67">
        <f>'Shared Building Allocation'!K9*1000000</f>
        <v>0</v>
      </c>
      <c r="E25" s="140">
        <f t="shared" si="1"/>
        <v>477015.35000000003</v>
      </c>
    </row>
    <row r="26" spans="1:8" x14ac:dyDescent="0.4">
      <c r="A26" t="s">
        <v>205</v>
      </c>
      <c r="B26" s="21">
        <f>Contributions!F10</f>
        <v>265674</v>
      </c>
      <c r="C26" s="135">
        <f>Contributions!G10</f>
        <v>1054725.78</v>
      </c>
      <c r="D26" s="67">
        <f>'Shared Building Allocation'!K10*1000000</f>
        <v>935675</v>
      </c>
      <c r="E26" s="140">
        <f t="shared" si="1"/>
        <v>119050.78000000003</v>
      </c>
    </row>
    <row r="27" spans="1:8" x14ac:dyDescent="0.4">
      <c r="A27" t="s">
        <v>204</v>
      </c>
      <c r="B27" s="21">
        <f>Contributions!F11</f>
        <v>105746</v>
      </c>
      <c r="C27" s="135">
        <f>Contributions!G11</f>
        <v>419811.62</v>
      </c>
      <c r="D27" s="67">
        <f>'Shared Building Allocation'!K11*1000000</f>
        <v>0</v>
      </c>
      <c r="E27" s="140">
        <f t="shared" si="1"/>
        <v>419811.62</v>
      </c>
    </row>
    <row r="28" spans="1:8" x14ac:dyDescent="0.4">
      <c r="A28" t="s">
        <v>199</v>
      </c>
      <c r="B28" s="21">
        <f>Contributions!F12</f>
        <v>99140</v>
      </c>
      <c r="C28" s="135">
        <f>Contributions!G12</f>
        <v>393585.80000000005</v>
      </c>
      <c r="D28" s="67">
        <f>'Shared Building Allocation'!K12*1000000</f>
        <v>0</v>
      </c>
      <c r="E28" s="140">
        <f t="shared" si="1"/>
        <v>393585.80000000005</v>
      </c>
    </row>
    <row r="29" spans="1:8" x14ac:dyDescent="0.4">
      <c r="A29" t="s">
        <v>206</v>
      </c>
      <c r="B29" s="21">
        <f>Contributions!F13</f>
        <v>396133</v>
      </c>
      <c r="C29" s="135">
        <f>Contributions!G13</f>
        <v>1572648.01</v>
      </c>
      <c r="D29" s="67">
        <f>'Shared Building Allocation'!K13*1000000</f>
        <v>35000</v>
      </c>
      <c r="E29" s="140">
        <f>C29-D29</f>
        <v>1537648.01</v>
      </c>
    </row>
    <row r="30" spans="1:8" x14ac:dyDescent="0.4">
      <c r="A30" s="133"/>
      <c r="B30" s="133">
        <v>2748810.0535201132</v>
      </c>
      <c r="C30" s="134">
        <f>SUM(C21:C29)</f>
        <v>11029283.289999999</v>
      </c>
      <c r="D30" s="64">
        <f>SUM(D21:D29)</f>
        <v>7780137.5</v>
      </c>
      <c r="E30" s="138">
        <f>SUM(E21:E29)</f>
        <v>3249145.79</v>
      </c>
    </row>
    <row r="31" spans="1:8" x14ac:dyDescent="0.4">
      <c r="A31" s="20"/>
      <c r="B31" s="20"/>
      <c r="C31" s="209"/>
    </row>
    <row r="32" spans="1:8" x14ac:dyDescent="0.4">
      <c r="C32" s="37"/>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4"/>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Construction</v>
      </c>
      <c r="G4" s="11" t="str">
        <f>VLOOKUP(A4,'Project Status'!C:K,9,FALSE)</f>
        <v>Ben Bedock</v>
      </c>
      <c r="H4" s="42">
        <f>VLOOKUP(A4,'Project Status'!C:M,11,FALSE)</f>
        <v>781870</v>
      </c>
    </row>
    <row r="8" spans="1:11" x14ac:dyDescent="0.4">
      <c r="E8" s="43" t="s">
        <v>126</v>
      </c>
    </row>
    <row r="9" spans="1:11" x14ac:dyDescent="0.4">
      <c r="E9" s="22" t="s">
        <v>168</v>
      </c>
      <c r="F9" s="35" t="s">
        <v>141</v>
      </c>
      <c r="H9" s="111">
        <v>17050</v>
      </c>
    </row>
    <row r="10" spans="1:11" x14ac:dyDescent="0.4">
      <c r="E10" s="22" t="s">
        <v>230</v>
      </c>
      <c r="F10" t="s">
        <v>218</v>
      </c>
      <c r="H10" s="45">
        <v>764820</v>
      </c>
    </row>
    <row r="18" spans="5:8" x14ac:dyDescent="0.4">
      <c r="E18" s="163" t="s">
        <v>280</v>
      </c>
      <c r="F18" s="164"/>
      <c r="G18" s="163"/>
      <c r="H18" s="165">
        <f>SUM(H9:H17)</f>
        <v>781870</v>
      </c>
    </row>
    <row r="20" spans="5:8" x14ac:dyDescent="0.4">
      <c r="E20" s="166" t="s">
        <v>138</v>
      </c>
      <c r="F20" s="166"/>
      <c r="G20" s="166"/>
      <c r="H20" s="167">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Construction</v>
      </c>
      <c r="G4" s="11" t="str">
        <f>VLOOKUP(A4,'Project Status'!C:K,9,FALSE)</f>
        <v>Ben Bedock</v>
      </c>
      <c r="H4" s="42">
        <f>VLOOKUP(A4,'Project Status'!C:M,11,FALSE)</f>
        <v>1232681</v>
      </c>
    </row>
    <row r="8" spans="1:11" x14ac:dyDescent="0.4">
      <c r="E8" s="43" t="s">
        <v>126</v>
      </c>
    </row>
    <row r="9" spans="1:11" x14ac:dyDescent="0.4">
      <c r="E9" t="s">
        <v>244</v>
      </c>
      <c r="F9" s="35" t="s">
        <v>141</v>
      </c>
      <c r="H9" s="44">
        <v>1232681</v>
      </c>
    </row>
    <row r="13" spans="1:11" x14ac:dyDescent="0.4">
      <c r="F13" s="10"/>
      <c r="G13" s="10"/>
      <c r="H13" s="47"/>
    </row>
    <row r="18" spans="5:8" x14ac:dyDescent="0.4">
      <c r="E18" s="163" t="s">
        <v>280</v>
      </c>
      <c r="F18" s="164"/>
      <c r="G18" s="163"/>
      <c r="H18" s="165">
        <f>SUM(H9:H17)</f>
        <v>1232681</v>
      </c>
    </row>
    <row r="20" spans="5:8" x14ac:dyDescent="0.4">
      <c r="E20" s="166" t="s">
        <v>138</v>
      </c>
      <c r="F20" s="166"/>
      <c r="G20" s="166"/>
      <c r="H20" s="167">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2">
        <f>VLOOKUP(A4,'Project Status'!C:M,11,FALSE)</f>
        <v>218202</v>
      </c>
    </row>
    <row r="8" spans="1:11" x14ac:dyDescent="0.4">
      <c r="E8" s="43" t="s">
        <v>126</v>
      </c>
    </row>
    <row r="9" spans="1:11" x14ac:dyDescent="0.4">
      <c r="E9" s="22" t="s">
        <v>219</v>
      </c>
      <c r="F9" s="35" t="s">
        <v>141</v>
      </c>
      <c r="H9" s="44">
        <v>218202</v>
      </c>
    </row>
    <row r="18" spans="5:8" x14ac:dyDescent="0.4">
      <c r="E18" s="163" t="s">
        <v>280</v>
      </c>
      <c r="F18" s="164"/>
      <c r="G18" s="163"/>
      <c r="H18" s="165">
        <f>SUM(H9:H17)</f>
        <v>218202</v>
      </c>
    </row>
    <row r="20" spans="5:8" x14ac:dyDescent="0.4">
      <c r="E20" s="166" t="s">
        <v>138</v>
      </c>
      <c r="F20" s="166"/>
      <c r="G20" s="166"/>
      <c r="H20" s="167">
        <f>H4-H18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2">
        <f>VLOOKUP(A4,'Project Status'!C:M,11,FALSE)</f>
        <v>223000</v>
      </c>
    </row>
    <row r="8" spans="1:11" x14ac:dyDescent="0.4">
      <c r="E8" s="43" t="s">
        <v>126</v>
      </c>
    </row>
    <row r="9" spans="1:11" x14ac:dyDescent="0.4">
      <c r="E9" s="22" t="s">
        <v>168</v>
      </c>
      <c r="F9" s="35" t="s">
        <v>141</v>
      </c>
      <c r="H9" s="44">
        <v>53750</v>
      </c>
    </row>
    <row r="10" spans="1:11" x14ac:dyDescent="0.4">
      <c r="E10" s="22" t="s">
        <v>237</v>
      </c>
      <c r="F10" t="s">
        <v>218</v>
      </c>
      <c r="H10" s="45">
        <v>169250</v>
      </c>
    </row>
    <row r="18" spans="5:8" x14ac:dyDescent="0.4">
      <c r="E18" s="163" t="s">
        <v>280</v>
      </c>
      <c r="F18" s="164"/>
      <c r="G18" s="163"/>
      <c r="H18" s="165">
        <f>SUM(H9:H17)</f>
        <v>223000</v>
      </c>
    </row>
    <row r="20" spans="5:8" x14ac:dyDescent="0.4">
      <c r="E20" s="166" t="s">
        <v>138</v>
      </c>
      <c r="F20" s="166"/>
      <c r="G20" s="166"/>
      <c r="H20" s="167">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4"/>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Construction</v>
      </c>
      <c r="G4" s="11" t="str">
        <f>VLOOKUP(A4,'Project Status'!C:K,9,FALSE)</f>
        <v>Ben Bedock</v>
      </c>
      <c r="H4" s="100">
        <f>VLOOKUP(A4,'Project Status'!C:M,11,FALSE)</f>
        <v>630554</v>
      </c>
    </row>
    <row r="8" spans="1:11" x14ac:dyDescent="0.4">
      <c r="E8" s="43" t="s">
        <v>126</v>
      </c>
    </row>
    <row r="9" spans="1:11" x14ac:dyDescent="0.4">
      <c r="E9" s="22" t="s">
        <v>230</v>
      </c>
      <c r="F9" s="35" t="s">
        <v>141</v>
      </c>
      <c r="H9" s="111">
        <v>2050</v>
      </c>
    </row>
    <row r="10" spans="1:11" x14ac:dyDescent="0.4">
      <c r="E10" s="22" t="s">
        <v>261</v>
      </c>
      <c r="F10" t="s">
        <v>218</v>
      </c>
      <c r="H10" s="44">
        <v>628504</v>
      </c>
    </row>
    <row r="18" spans="5:8" x14ac:dyDescent="0.4">
      <c r="E18" s="163" t="s">
        <v>280</v>
      </c>
      <c r="F18" s="164"/>
      <c r="G18" s="163"/>
      <c r="H18" s="165">
        <f>SUM(H9:H17)</f>
        <v>630554</v>
      </c>
    </row>
    <row r="20" spans="5:8" x14ac:dyDescent="0.4">
      <c r="E20" s="166" t="s">
        <v>138</v>
      </c>
      <c r="F20" s="166"/>
      <c r="G20" s="166"/>
      <c r="H20" s="167">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6.691406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2">
        <f>VLOOKUP(A4,'Project Status'!C:M,11,FALSE)</f>
        <v>125875</v>
      </c>
    </row>
    <row r="8" spans="1:11" x14ac:dyDescent="0.4">
      <c r="E8" s="43" t="s">
        <v>126</v>
      </c>
    </row>
    <row r="9" spans="1:11" x14ac:dyDescent="0.4">
      <c r="E9" t="s">
        <v>297</v>
      </c>
      <c r="F9" s="35" t="s">
        <v>141</v>
      </c>
      <c r="H9" s="44">
        <v>125875</v>
      </c>
    </row>
    <row r="13" spans="1:11" x14ac:dyDescent="0.4">
      <c r="F13" s="10"/>
      <c r="G13" s="10"/>
      <c r="H13" s="47"/>
    </row>
    <row r="18" spans="5:8" x14ac:dyDescent="0.4">
      <c r="E18" s="163" t="s">
        <v>280</v>
      </c>
      <c r="F18" s="164"/>
      <c r="G18" s="163"/>
      <c r="H18" s="165">
        <f>SUM(H9:H17)</f>
        <v>125875</v>
      </c>
    </row>
    <row r="20" spans="5:8" x14ac:dyDescent="0.4">
      <c r="E20" s="166" t="s">
        <v>138</v>
      </c>
      <c r="F20" s="166"/>
      <c r="G20" s="166"/>
      <c r="H20" s="167">
        <f>H4-H18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2">
        <f>VLOOKUP(A4,'Project Status'!C:M,11,FALSE)</f>
        <v>146500</v>
      </c>
    </row>
    <row r="8" spans="1:11" x14ac:dyDescent="0.4">
      <c r="E8" s="43" t="s">
        <v>126</v>
      </c>
    </row>
    <row r="9" spans="1:11" x14ac:dyDescent="0.4">
      <c r="E9" s="22" t="s">
        <v>178</v>
      </c>
      <c r="F9" s="35" t="s">
        <v>141</v>
      </c>
      <c r="H9" s="44">
        <v>135000</v>
      </c>
    </row>
    <row r="10" spans="1:11" x14ac:dyDescent="0.4">
      <c r="E10" s="22" t="s">
        <v>237</v>
      </c>
      <c r="F10" t="s">
        <v>148</v>
      </c>
      <c r="H10" s="45">
        <v>11500</v>
      </c>
    </row>
    <row r="18" spans="5:8" x14ac:dyDescent="0.4">
      <c r="E18" s="163" t="s">
        <v>280</v>
      </c>
      <c r="F18" s="164"/>
      <c r="G18" s="163"/>
      <c r="H18" s="165">
        <f>SUM(H9:H17)</f>
        <v>146500</v>
      </c>
    </row>
    <row r="20" spans="5:8" x14ac:dyDescent="0.4">
      <c r="E20" s="166" t="s">
        <v>138</v>
      </c>
      <c r="F20" s="166"/>
      <c r="G20" s="166"/>
      <c r="H20" s="167">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100">
        <f>VLOOKUP(A4,'Project Status'!C:M,11,FALSE)</f>
        <v>206500</v>
      </c>
    </row>
    <row r="8" spans="1:11" x14ac:dyDescent="0.4">
      <c r="E8" s="43" t="s">
        <v>126</v>
      </c>
    </row>
    <row r="9" spans="1:11" x14ac:dyDescent="0.4">
      <c r="E9" s="22" t="s">
        <v>219</v>
      </c>
      <c r="F9" s="35" t="s">
        <v>141</v>
      </c>
      <c r="H9" s="44">
        <v>195000</v>
      </c>
    </row>
    <row r="10" spans="1:11" x14ac:dyDescent="0.4">
      <c r="E10" s="22" t="s">
        <v>237</v>
      </c>
      <c r="F10" t="s">
        <v>148</v>
      </c>
      <c r="H10" s="44">
        <v>11500</v>
      </c>
    </row>
    <row r="18" spans="5:8" x14ac:dyDescent="0.4">
      <c r="E18" s="163" t="s">
        <v>280</v>
      </c>
      <c r="F18" s="164"/>
      <c r="G18" s="163"/>
      <c r="H18" s="165">
        <f>SUM(H9:H17)</f>
        <v>206500</v>
      </c>
    </row>
    <row r="20" spans="5:8" x14ac:dyDescent="0.4">
      <c r="E20" s="166" t="s">
        <v>138</v>
      </c>
      <c r="F20" s="166"/>
      <c r="G20" s="166"/>
      <c r="H20" s="167">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100">
        <f>VLOOKUP(A4,'Project Status'!C:M,11,FALSE)</f>
        <v>29250</v>
      </c>
    </row>
    <row r="8" spans="1:11" x14ac:dyDescent="0.4">
      <c r="E8" s="43" t="s">
        <v>126</v>
      </c>
    </row>
    <row r="9" spans="1:11" x14ac:dyDescent="0.4">
      <c r="E9" s="22" t="s">
        <v>219</v>
      </c>
      <c r="F9" s="35" t="s">
        <v>141</v>
      </c>
      <c r="H9" s="44">
        <v>24500</v>
      </c>
    </row>
    <row r="10" spans="1:11" x14ac:dyDescent="0.4">
      <c r="E10" s="22" t="s">
        <v>219</v>
      </c>
      <c r="F10" t="s">
        <v>218</v>
      </c>
      <c r="H10" s="44">
        <v>450</v>
      </c>
    </row>
    <row r="11" spans="1:11" x14ac:dyDescent="0.4">
      <c r="E11" s="22" t="s">
        <v>297</v>
      </c>
      <c r="F11" t="s">
        <v>148</v>
      </c>
      <c r="H11" s="44">
        <v>4300</v>
      </c>
    </row>
    <row r="18" spans="5:8" x14ac:dyDescent="0.4">
      <c r="E18" s="163" t="s">
        <v>280</v>
      </c>
      <c r="F18" s="164"/>
      <c r="G18" s="163"/>
      <c r="H18" s="165">
        <f>SUM(H9:H17)</f>
        <v>29250</v>
      </c>
    </row>
    <row r="20" spans="5:8" x14ac:dyDescent="0.4">
      <c r="E20" s="166" t="s">
        <v>138</v>
      </c>
      <c r="F20" s="166"/>
      <c r="G20" s="166"/>
      <c r="H20" s="167">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100">
        <f>VLOOKUP(A4,'Project Status'!C:M,11,FALSE)</f>
        <v>79623</v>
      </c>
    </row>
    <row r="8" spans="1:11" x14ac:dyDescent="0.4">
      <c r="E8" s="43" t="s">
        <v>126</v>
      </c>
    </row>
    <row r="9" spans="1:11" x14ac:dyDescent="0.4">
      <c r="E9" s="22" t="s">
        <v>230</v>
      </c>
      <c r="F9" s="35" t="s">
        <v>141</v>
      </c>
      <c r="H9" s="111">
        <v>2500</v>
      </c>
    </row>
    <row r="10" spans="1:11" x14ac:dyDescent="0.4">
      <c r="E10" s="22" t="s">
        <v>261</v>
      </c>
      <c r="F10" t="s">
        <v>141</v>
      </c>
      <c r="H10" s="44">
        <v>77123</v>
      </c>
    </row>
    <row r="18" spans="5:8" x14ac:dyDescent="0.4">
      <c r="E18" s="163" t="s">
        <v>280</v>
      </c>
      <c r="F18" s="164"/>
      <c r="G18" s="163"/>
      <c r="H18" s="165">
        <f>SUM(H9:H17)</f>
        <v>79623</v>
      </c>
    </row>
    <row r="20" spans="5:8" x14ac:dyDescent="0.4">
      <c r="E20" s="166" t="s">
        <v>138</v>
      </c>
      <c r="F20" s="166"/>
      <c r="G20" s="166"/>
      <c r="H20" s="167">
        <f>H4-H18</f>
        <v>0</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41"/>
  <sheetViews>
    <sheetView tabSelected="1" zoomScaleNormal="100" workbookViewId="0">
      <pane ySplit="5" topLeftCell="A26" activePane="bottomLeft" state="frozen"/>
      <selection activeCell="A58" sqref="A58:A79"/>
      <selection pane="bottomLeft" activeCell="C2" sqref="C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6" width="14.3828125" style="44" bestFit="1" customWidth="1"/>
    <col min="7" max="7" width="14.3046875" style="44" bestFit="1" customWidth="1"/>
    <col min="8" max="8" width="14" style="44" bestFit="1" customWidth="1"/>
  </cols>
  <sheetData>
    <row r="1" spans="1:8" s="8" customFormat="1" x14ac:dyDescent="0.4">
      <c r="B1" s="10" t="s">
        <v>194</v>
      </c>
      <c r="D1" s="10"/>
      <c r="F1" s="71"/>
      <c r="G1" s="71"/>
      <c r="H1" s="71"/>
    </row>
    <row r="2" spans="1:8" s="8" customFormat="1" x14ac:dyDescent="0.4">
      <c r="B2" s="94" t="s">
        <v>112</v>
      </c>
      <c r="C2" s="95">
        <v>45145</v>
      </c>
      <c r="D2" s="35"/>
      <c r="F2" s="71"/>
      <c r="G2" s="71"/>
      <c r="H2" s="71"/>
    </row>
    <row r="4" spans="1:8" x14ac:dyDescent="0.4">
      <c r="B4" s="10" t="s">
        <v>113</v>
      </c>
      <c r="C4" s="10"/>
      <c r="D4" s="10"/>
      <c r="F4" s="72" t="s">
        <v>172</v>
      </c>
      <c r="G4" s="72" t="s">
        <v>173</v>
      </c>
      <c r="H4" s="72" t="s">
        <v>173</v>
      </c>
    </row>
    <row r="5" spans="1:8" ht="29.15" x14ac:dyDescent="0.4">
      <c r="B5" s="65" t="s">
        <v>170</v>
      </c>
      <c r="C5" s="66" t="s">
        <v>169</v>
      </c>
      <c r="D5" s="65" t="s">
        <v>86</v>
      </c>
      <c r="E5" s="23" t="s">
        <v>171</v>
      </c>
      <c r="F5" s="73" t="s">
        <v>229</v>
      </c>
      <c r="G5" s="74" t="s">
        <v>332</v>
      </c>
      <c r="H5" s="127" t="s">
        <v>252</v>
      </c>
    </row>
    <row r="6" spans="1:8" x14ac:dyDescent="0.4">
      <c r="A6" s="109">
        <v>1</v>
      </c>
      <c r="B6" t="str">
        <f>VLOOKUP(C6,'Project Status'!C:J,8,FALSE)</f>
        <v>Finalized</v>
      </c>
      <c r="C6" s="61">
        <v>10085</v>
      </c>
      <c r="D6" s="27" t="str">
        <f>VLOOKUP(C6,'Project Status'!C:G,5,FALSE)</f>
        <v>Peabody</v>
      </c>
      <c r="E6" t="str">
        <f>VLOOKUP(C6,'Project Status'!C:I,7,FALSE)</f>
        <v>One Magnolia Circle - Modify/Upgrade Electrical and Grounding</v>
      </c>
      <c r="F6" s="107">
        <f>VLOOKUP(C6,'Project Status'!C:L,10,FALSE)</f>
        <v>17500</v>
      </c>
      <c r="G6" s="108">
        <f>VLOOKUP(C6,'Project Status'!C:Q,15,FALSE)</f>
        <v>17500</v>
      </c>
      <c r="H6" s="128">
        <f>VLOOKUP(C6,'Project Status'!C:T,18,FALSE)</f>
        <v>0</v>
      </c>
    </row>
    <row r="7" spans="1:8" x14ac:dyDescent="0.4">
      <c r="A7" s="109">
        <v>2</v>
      </c>
      <c r="B7" t="str">
        <f>VLOOKUP(C7,'Project Status'!C:J,8,FALSE)</f>
        <v>Warranty or Construction Closeout</v>
      </c>
      <c r="C7" s="61">
        <v>10098</v>
      </c>
      <c r="D7" s="27" t="str">
        <f>VLOOKUP(C7,'Project Status'!C:G,5,FALSE)</f>
        <v>SOM Basic Sciences</v>
      </c>
      <c r="E7" t="str">
        <f>VLOOKUP(C7,'Project Status'!C:I,7,FALSE)</f>
        <v>MRB III - 4th Floor - Replace Controls (Phase 2)</v>
      </c>
      <c r="F7" s="107">
        <f>VLOOKUP(C7,'Project Status'!C:L,10,FALSE)</f>
        <v>1216485.5</v>
      </c>
      <c r="G7" s="108">
        <f>VLOOKUP(C7,'Project Status'!C:Q,15,FALSE)</f>
        <v>1216485.5</v>
      </c>
      <c r="H7" s="128">
        <f>VLOOKUP(C7,'Project Status'!C:T,18,FALSE)</f>
        <v>0</v>
      </c>
    </row>
    <row r="8" spans="1:8" x14ac:dyDescent="0.4">
      <c r="A8" s="109">
        <v>3</v>
      </c>
      <c r="B8" t="str">
        <f>VLOOKUP(C8,'Project Status'!C:J,8,FALSE)</f>
        <v>Design</v>
      </c>
      <c r="C8" s="61">
        <v>10146</v>
      </c>
      <c r="D8" s="27" t="str">
        <f>VLOOKUP(C8,'Project Status'!C:G,5,FALSE)</f>
        <v>Nursing</v>
      </c>
      <c r="E8" t="str">
        <f>VLOOKUP(C8,'Project Status'!C:I,7,FALSE)</f>
        <v>Godchaux Hall - HVAC Upgrade</v>
      </c>
      <c r="F8" s="107">
        <f>VLOOKUP(C8,'Project Status'!C:L,10,FALSE)</f>
        <v>0</v>
      </c>
      <c r="G8" s="108">
        <f>VLOOKUP(C8,'Project Status'!C:Q,15,FALSE)</f>
        <v>4900</v>
      </c>
      <c r="H8" s="128">
        <f>VLOOKUP(C8,'Project Status'!C:T,18,FALSE)</f>
        <v>0</v>
      </c>
    </row>
    <row r="9" spans="1:8" x14ac:dyDescent="0.4">
      <c r="A9" s="109">
        <v>4</v>
      </c>
      <c r="B9" t="str">
        <f>VLOOKUP(C9,'Project Status'!C:J,8,FALSE)</f>
        <v>Warranty or Construction Closeout</v>
      </c>
      <c r="C9" s="61">
        <v>20179</v>
      </c>
      <c r="D9" s="27" t="str">
        <f>VLOOKUP(C9,'Project Status'!C:G,5,FALSE)</f>
        <v>Law</v>
      </c>
      <c r="E9" t="str">
        <f>VLOOKUP(C9,'Project Status'!C:I,7,FALSE)</f>
        <v>Law School - Fire Alarm System Replacement</v>
      </c>
      <c r="F9" s="107">
        <f>VLOOKUP(C9,'Project Status'!C:L,10,FALSE)</f>
        <v>1445389</v>
      </c>
      <c r="G9" s="108">
        <f>VLOOKUP(C9,'Project Status'!C:Q,15,FALSE)</f>
        <v>722694.5</v>
      </c>
      <c r="H9" s="128">
        <f>VLOOKUP(C9,'Project Status'!C:T,18,FALSE)</f>
        <v>0</v>
      </c>
    </row>
    <row r="10" spans="1:8" x14ac:dyDescent="0.4">
      <c r="A10" s="109">
        <v>5</v>
      </c>
      <c r="B10" t="str">
        <f>VLOOKUP(C10,'Project Status'!C:J,8,FALSE)</f>
        <v>Construction</v>
      </c>
      <c r="C10" s="61">
        <v>20336</v>
      </c>
      <c r="D10" s="27" t="str">
        <f>VLOOKUP(C10,'Project Status'!C:G,5,FALSE)</f>
        <v>Blair</v>
      </c>
      <c r="E10" t="str">
        <f>VLOOKUP(C10,'Project Status'!C:I,7,FALSE)</f>
        <v>Blair School of Music - Elevator #3 Modernization</v>
      </c>
      <c r="F10" s="107">
        <f>VLOOKUP(C10,'Project Status'!C:L,10,FALSE)</f>
        <v>327890</v>
      </c>
      <c r="G10" s="108">
        <f>VLOOKUP(C10,'Project Status'!C:Q,15,FALSE)</f>
        <v>327890</v>
      </c>
      <c r="H10" s="128">
        <f>VLOOKUP(C10,'Project Status'!C:T,18,FALSE)</f>
        <v>0</v>
      </c>
    </row>
    <row r="11" spans="1:8" x14ac:dyDescent="0.4">
      <c r="A11" s="109">
        <v>6</v>
      </c>
      <c r="B11" t="str">
        <f>VLOOKUP(C11,'Project Status'!C:J,8,FALSE)</f>
        <v>Construction</v>
      </c>
      <c r="C11" s="61">
        <v>20431</v>
      </c>
      <c r="D11" s="27" t="str">
        <f>VLOOKUP(C11,'Project Status'!C:G,5,FALSE)</f>
        <v>Divinity</v>
      </c>
      <c r="E11" t="str">
        <f>VLOOKUP(C11,'Project Status'!C:I,7,FALSE)</f>
        <v>Divinity - AHU 5N (5 &amp; 6) Replacement</v>
      </c>
      <c r="F11" s="107">
        <f>VLOOKUP(C11,'Project Status'!C:L,10,FALSE)</f>
        <v>3800000</v>
      </c>
      <c r="G11" s="108">
        <f>VLOOKUP(C11,'Project Status'!C:Q,15,FALSE)</f>
        <v>69862.5</v>
      </c>
      <c r="H11" s="128">
        <f>VLOOKUP(C11,'Project Status'!C:T,18,FALSE)</f>
        <v>3730137.5</v>
      </c>
    </row>
    <row r="12" spans="1:8" x14ac:dyDescent="0.4">
      <c r="A12" s="109">
        <v>7</v>
      </c>
      <c r="B12" t="str">
        <f>VLOOKUP(C12,'Project Status'!C:J,8,FALSE)</f>
        <v>Construction</v>
      </c>
      <c r="C12" s="61">
        <v>20478</v>
      </c>
      <c r="D12" s="27" t="str">
        <f>VLOOKUP(C12,'Project Status'!C:G,5,FALSE)</f>
        <v>Arts &amp; Science</v>
      </c>
      <c r="E12" t="str">
        <f>VLOOKUP(C12,'Project Status'!C:I,7,FALSE)</f>
        <v>Bryan Building - Swing Space Renovation - A&amp;S Planning</v>
      </c>
      <c r="F12" s="107">
        <f>VLOOKUP(C12,'Project Status'!C:L,10,FALSE)</f>
        <v>2900000</v>
      </c>
      <c r="G12" s="108">
        <f>VLOOKUP(C12,'Project Status'!C:Q,15,FALSE)</f>
        <v>81100</v>
      </c>
      <c r="H12" s="128">
        <f>VLOOKUP(C12,'Project Status'!C:T,18,FALSE)</f>
        <v>1028900</v>
      </c>
    </row>
    <row r="13" spans="1:8" x14ac:dyDescent="0.4">
      <c r="A13" s="109">
        <v>8</v>
      </c>
      <c r="B13" t="str">
        <f>VLOOKUP(C13,'Project Status'!C:J,8,FALSE)</f>
        <v>Design</v>
      </c>
      <c r="C13" s="61">
        <v>20489</v>
      </c>
      <c r="D13" s="27" t="str">
        <f>VLOOKUP(C13,'Project Status'!C:G,5,FALSE)</f>
        <v>Divinity</v>
      </c>
      <c r="E13" t="str">
        <f>VLOOKUP(C13,'Project Status'!C:I,7,FALSE)</f>
        <v>Divinity - AHU 1N (1&amp;3) Replacement with Benton</v>
      </c>
      <c r="F13" s="107">
        <f>VLOOKUP(C13,'Project Status'!C:L,10,FALSE)</f>
        <v>3726000</v>
      </c>
      <c r="G13" s="108">
        <f>VLOOKUP(C13,'Project Status'!C:Q,15,FALSE)</f>
        <v>26500</v>
      </c>
      <c r="H13" s="128">
        <f>VLOOKUP(C13,'Project Status'!C:T,18,FALSE)</f>
        <v>0</v>
      </c>
    </row>
    <row r="14" spans="1:8" x14ac:dyDescent="0.4">
      <c r="A14" s="109">
        <v>9</v>
      </c>
      <c r="B14" t="str">
        <f>VLOOKUP(C14,'Project Status'!C:J,8,FALSE)</f>
        <v>Construction</v>
      </c>
      <c r="C14" s="61">
        <v>20497</v>
      </c>
      <c r="D14" s="27" t="str">
        <f>VLOOKUP(C14,'Project Status'!C:G,5,FALSE)</f>
        <v>Peabody</v>
      </c>
      <c r="E14" t="str">
        <f>VLOOKUP(C14,'Project Status'!C:I,7,FALSE)</f>
        <v>Jesup - Roof Replacement</v>
      </c>
      <c r="F14" s="107">
        <f>VLOOKUP(C14,'Project Status'!C:L,10,FALSE)</f>
        <v>456850</v>
      </c>
      <c r="G14" s="108">
        <f>VLOOKUP(C14,'Project Status'!C:Q,15,FALSE)</f>
        <v>79415.5</v>
      </c>
      <c r="H14" s="128">
        <f>VLOOKUP(C14,'Project Status'!C:T,18,FALSE)</f>
        <v>0</v>
      </c>
    </row>
    <row r="15" spans="1:8" x14ac:dyDescent="0.4">
      <c r="A15" s="109">
        <v>10</v>
      </c>
      <c r="B15" t="str">
        <f>VLOOKUP(C15,'Project Status'!C:J,8,FALSE)</f>
        <v>Warranty or Construction Closeout</v>
      </c>
      <c r="C15" s="61">
        <v>20506</v>
      </c>
      <c r="D15" s="27" t="str">
        <f>VLOOKUP(C15,'Project Status'!C:G,5,FALSE)</f>
        <v>Peabody</v>
      </c>
      <c r="E15" t="str">
        <f>VLOOKUP(C15,'Project Status'!C:I,7,FALSE)</f>
        <v>Wyatt Center - Window Replacement</v>
      </c>
      <c r="F15" s="107">
        <f>VLOOKUP(C15,'Project Status'!C:L,10,FALSE)</f>
        <v>344155.26</v>
      </c>
      <c r="G15" s="108">
        <f>VLOOKUP(C15,'Project Status'!C:Q,15,FALSE)</f>
        <v>344155.26</v>
      </c>
      <c r="H15" s="128">
        <f>VLOOKUP(C15,'Project Status'!C:T,18,FALSE)</f>
        <v>0</v>
      </c>
    </row>
    <row r="16" spans="1:8" x14ac:dyDescent="0.4">
      <c r="A16" s="109">
        <v>11</v>
      </c>
      <c r="B16" t="str">
        <f>VLOOKUP(C16,'Project Status'!C:J,8,FALSE)</f>
        <v>Construction</v>
      </c>
      <c r="C16" s="61">
        <v>20562</v>
      </c>
      <c r="D16" s="27" t="str">
        <f>VLOOKUP(C16,'Project Status'!C:G,5,FALSE)</f>
        <v>Peabody</v>
      </c>
      <c r="E16" t="str">
        <f>VLOOKUP(C16,'Project Status'!C:I,7,FALSE)</f>
        <v>Wyatt Center - VAV Replacement</v>
      </c>
      <c r="F16" s="107">
        <f>VLOOKUP(C16,'Project Status'!C:L,10,FALSE)</f>
        <v>400000</v>
      </c>
      <c r="G16" s="108">
        <f>VLOOKUP(C16,'Project Status'!C:Q,15,FALSE)</f>
        <v>405791</v>
      </c>
      <c r="H16" s="128">
        <f>VLOOKUP(C16,'Project Status'!C:T,18,FALSE)</f>
        <v>0</v>
      </c>
    </row>
    <row r="17" spans="1:8" x14ac:dyDescent="0.4">
      <c r="A17" s="109">
        <v>12</v>
      </c>
      <c r="B17" t="str">
        <f>VLOOKUP(C17,'Project Status'!C:J,8,FALSE)</f>
        <v>Not Started</v>
      </c>
      <c r="C17" s="61">
        <v>20563</v>
      </c>
      <c r="D17" s="27" t="str">
        <f>VLOOKUP(C17,'Project Status'!C:G,5,FALSE)</f>
        <v>Engineering</v>
      </c>
      <c r="E17" t="str">
        <f>VLOOKUP(C17,'Project Status'!C:I,7,FALSE)</f>
        <v>Keck FEL - Roof Replacement</v>
      </c>
      <c r="F17" s="107">
        <f>VLOOKUP(C17,'Project Status'!C:L,10,FALSE)</f>
        <v>386000</v>
      </c>
      <c r="G17" s="108">
        <f>VLOOKUP(C17,'Project Status'!C:Q,15,FALSE)</f>
        <v>0</v>
      </c>
      <c r="H17" s="128">
        <f>VLOOKUP(C17,'Project Status'!C:T,18,FALSE)</f>
        <v>0</v>
      </c>
    </row>
    <row r="18" spans="1:8" x14ac:dyDescent="0.4">
      <c r="A18" s="109">
        <v>13</v>
      </c>
      <c r="B18" t="str">
        <f>VLOOKUP(C18,'Project Status'!C:J,8,FALSE)</f>
        <v>Construction</v>
      </c>
      <c r="C18" s="61">
        <v>20566</v>
      </c>
      <c r="D18" s="27" t="str">
        <f>VLOOKUP(C18,'Project Status'!C:G,5,FALSE)</f>
        <v>Arts &amp; Science</v>
      </c>
      <c r="E18" t="str">
        <f>VLOOKUP(C18,'Project Status'!C:I,7,FALSE)</f>
        <v>SC Chemistry (SC7) - Elevator 1 &amp; 2 Modernization</v>
      </c>
      <c r="F18" s="107">
        <f>VLOOKUP(C18,'Project Status'!C:L,10,FALSE)</f>
        <v>781870</v>
      </c>
      <c r="G18" s="108">
        <f>VLOOKUP(C18,'Project Status'!C:Q,15,FALSE)</f>
        <v>781870</v>
      </c>
      <c r="H18" s="128">
        <f>VLOOKUP(C18,'Project Status'!C:T,18,FALSE)</f>
        <v>0</v>
      </c>
    </row>
    <row r="19" spans="1:8" x14ac:dyDescent="0.4">
      <c r="A19" s="109">
        <v>14</v>
      </c>
      <c r="B19" t="str">
        <f>VLOOKUP(C19,'Project Status'!C:J,8,FALSE)</f>
        <v>Construction</v>
      </c>
      <c r="C19" s="61">
        <v>20573</v>
      </c>
      <c r="D19" s="27" t="str">
        <f>VLOOKUP(C19,'Project Status'!C:G,5,FALSE)</f>
        <v>Peabody</v>
      </c>
      <c r="E19" t="str">
        <f>VLOOKUP(C19,'Project Status'!C:I,7,FALSE)</f>
        <v>Wyatt Center - Roof Replacement</v>
      </c>
      <c r="F19" s="107">
        <f>VLOOKUP(C19,'Project Status'!C:L,10,FALSE)</f>
        <v>1232681</v>
      </c>
      <c r="G19" s="108">
        <f>VLOOKUP(C19,'Project Status'!C:Q,15,FALSE)</f>
        <v>1232681</v>
      </c>
      <c r="H19" s="128">
        <f>VLOOKUP(C19,'Project Status'!C:T,18,FALSE)</f>
        <v>0</v>
      </c>
    </row>
    <row r="20" spans="1:8" x14ac:dyDescent="0.4">
      <c r="A20" s="109">
        <v>15</v>
      </c>
      <c r="B20" t="str">
        <f>VLOOKUP(C20,'Project Status'!C:J,8,FALSE)</f>
        <v>Construction</v>
      </c>
      <c r="C20" s="61">
        <v>20574</v>
      </c>
      <c r="D20" s="27" t="str">
        <f>VLOOKUP(C20,'Project Status'!C:G,5,FALSE)</f>
        <v>SOM Basic Sciences</v>
      </c>
      <c r="E20" t="str">
        <f>VLOOKUP(C20,'Project Status'!C:I,7,FALSE)</f>
        <v>MRB III - Steam Coil Replacement</v>
      </c>
      <c r="F20" s="107">
        <f>VLOOKUP(C20,'Project Status'!C:L,10,FALSE)</f>
        <v>218202</v>
      </c>
      <c r="G20" s="108">
        <f>VLOOKUP(C20,'Project Status'!C:Q,15,FALSE)</f>
        <v>218202</v>
      </c>
      <c r="H20" s="128">
        <f>VLOOKUP(C20,'Project Status'!C:T,18,FALSE)</f>
        <v>0</v>
      </c>
    </row>
    <row r="21" spans="1:8" x14ac:dyDescent="0.4">
      <c r="A21" s="109">
        <v>16</v>
      </c>
      <c r="B21" t="str">
        <f>VLOOKUP(C21,'Project Status'!C:J,8,FALSE)</f>
        <v>Design</v>
      </c>
      <c r="C21" s="61">
        <v>20577</v>
      </c>
      <c r="D21" s="27" t="str">
        <f>VLOOKUP(C21,'Project Status'!C:G,5,FALSE)</f>
        <v>Blair</v>
      </c>
      <c r="E21" t="str">
        <f>VLOOKUP(C21,'Project Status'!C:I,7,FALSE)</f>
        <v>Blair School of Music - Air Handling Unit Replacement</v>
      </c>
      <c r="F21" s="107">
        <f>VLOOKUP(C21,'Project Status'!C:L,10,FALSE)</f>
        <v>4500000</v>
      </c>
      <c r="G21" s="108">
        <f>VLOOKUP(C21,'Project Status'!C:Q,15,FALSE)</f>
        <v>223000</v>
      </c>
      <c r="H21" s="128">
        <f>VLOOKUP(C21,'Project Status'!C:T,18,FALSE)</f>
        <v>0</v>
      </c>
    </row>
    <row r="22" spans="1:8" x14ac:dyDescent="0.4">
      <c r="A22" s="109">
        <v>17</v>
      </c>
      <c r="B22" t="str">
        <f>VLOOKUP(C22,'Project Status'!C:J,8,FALSE)</f>
        <v>Construction</v>
      </c>
      <c r="C22" s="61">
        <v>20644</v>
      </c>
      <c r="D22" s="27" t="str">
        <f>VLOOKUP(C22,'Project Status'!C:G,5,FALSE)</f>
        <v>Peabody</v>
      </c>
      <c r="E22" t="str">
        <f>VLOOKUP(C22,'Project Status'!C:I,7,FALSE)</f>
        <v>Peabody Administration - Envelope Repairs</v>
      </c>
      <c r="F22" s="107">
        <f>VLOOKUP(C22,'Project Status'!C:L,10,FALSE)</f>
        <v>630554</v>
      </c>
      <c r="G22" s="108">
        <f>VLOOKUP(C22,'Project Status'!C:Q,15,FALSE)</f>
        <v>630554</v>
      </c>
      <c r="H22" s="128">
        <f>VLOOKUP(C22,'Project Status'!C:T,18,FALSE)</f>
        <v>0</v>
      </c>
    </row>
    <row r="23" spans="1:8" x14ac:dyDescent="0.4">
      <c r="A23" s="109">
        <v>18</v>
      </c>
      <c r="B23" t="str">
        <f>VLOOKUP(C23,'Project Status'!C:J,8,FALSE)</f>
        <v>Construction</v>
      </c>
      <c r="C23" s="61">
        <v>20645</v>
      </c>
      <c r="D23" s="27" t="str">
        <f>VLOOKUP(C23,'Project Status'!C:G,5,FALSE)</f>
        <v>Arts &amp; Science</v>
      </c>
      <c r="E23" t="str">
        <f>VLOOKUP(C23,'Project Status'!C:I,7,FALSE)</f>
        <v>Benson Old Central - Replace Soffit and Doors</v>
      </c>
      <c r="F23" s="107">
        <f>VLOOKUP(C23,'Project Status'!C:L,10,FALSE)</f>
        <v>125875</v>
      </c>
      <c r="G23" s="108">
        <f>VLOOKUP(C23,'Project Status'!C:Q,15,FALSE)</f>
        <v>125875</v>
      </c>
      <c r="H23" s="128">
        <f>VLOOKUP(C23,'Project Status'!C:T,18,FALSE)</f>
        <v>0</v>
      </c>
    </row>
    <row r="24" spans="1:8" x14ac:dyDescent="0.4">
      <c r="A24" s="109">
        <v>19</v>
      </c>
      <c r="B24" t="str">
        <f>VLOOKUP(C24,'Project Status'!C:J,8,FALSE)</f>
        <v>Design</v>
      </c>
      <c r="C24" s="61">
        <v>20667</v>
      </c>
      <c r="D24" s="27" t="str">
        <f>VLOOKUP(C24,'Project Status'!C:G,5,FALSE)</f>
        <v>Engineering</v>
      </c>
      <c r="E24" t="str">
        <f>VLOOKUP(C24,'Project Status'!C:I,7,FALSE)</f>
        <v>1025 16th Avenue - Mechanical and Electrical Upgrades</v>
      </c>
      <c r="F24" s="107">
        <f>VLOOKUP(C24,'Project Status'!C:L,10,FALSE)</f>
        <v>0</v>
      </c>
      <c r="G24" s="108">
        <f>VLOOKUP(C24,'Project Status'!C:Q,15,FALSE)</f>
        <v>146500</v>
      </c>
      <c r="H24" s="128">
        <f>VLOOKUP(C24,'Project Status'!C:T,18,FALSE)</f>
        <v>35000</v>
      </c>
    </row>
    <row r="25" spans="1:8" x14ac:dyDescent="0.4">
      <c r="A25" s="109">
        <v>20</v>
      </c>
      <c r="B25" t="str">
        <f>VLOOKUP(C25,'Project Status'!C:J,8,FALSE)</f>
        <v>Design</v>
      </c>
      <c r="C25" s="61">
        <v>20668</v>
      </c>
      <c r="D25" s="27" t="str">
        <f>VLOOKUP(C25,'Project Status'!C:G,5,FALSE)</f>
        <v>Engineering</v>
      </c>
      <c r="E25" t="str">
        <f>VLOOKUP(C25,'Project Status'!C:I,7,FALSE)</f>
        <v>Keck FEL - Mechanical Upgrades</v>
      </c>
      <c r="F25" s="107">
        <f>VLOOKUP(C25,'Project Status'!C:L,10,FALSE)</f>
        <v>0</v>
      </c>
      <c r="G25" s="108">
        <f>VLOOKUP(C25,'Project Status'!C:Q,15,FALSE)</f>
        <v>206500</v>
      </c>
      <c r="H25" s="128">
        <f>VLOOKUP(C25,'Project Status'!C:T,18,FALSE)</f>
        <v>35000</v>
      </c>
    </row>
    <row r="26" spans="1:8" x14ac:dyDescent="0.4">
      <c r="A26" s="109">
        <v>21</v>
      </c>
      <c r="B26" t="str">
        <f>VLOOKUP(C26,'Project Status'!C:J,8,FALSE)</f>
        <v>Design</v>
      </c>
      <c r="C26" s="61">
        <v>20698</v>
      </c>
      <c r="D26" s="27" t="str">
        <f>VLOOKUP(C26,'Project Status'!C:G,5,FALSE)</f>
        <v>Arts &amp; Science</v>
      </c>
      <c r="E26" t="str">
        <f>VLOOKUP(C26,'Project Status'!C:I,7,FALSE)</f>
        <v>Wilson Hall - Fire Alarm Replacement</v>
      </c>
      <c r="F26" s="107">
        <f>VLOOKUP(C26,'Project Status'!C:L,10,FALSE)</f>
        <v>0</v>
      </c>
      <c r="G26" s="108">
        <f>VLOOKUP(C26,'Project Status'!C:Q,15,FALSE)</f>
        <v>29250</v>
      </c>
      <c r="H26" s="128">
        <f>VLOOKUP(C26,'Project Status'!C:T,18,FALSE)</f>
        <v>0</v>
      </c>
    </row>
    <row r="27" spans="1:8" x14ac:dyDescent="0.4">
      <c r="A27" s="109">
        <v>22</v>
      </c>
      <c r="B27" t="str">
        <f>VLOOKUP(C27,'Project Status'!C:J,8,FALSE)</f>
        <v>Construction</v>
      </c>
      <c r="C27" s="61">
        <v>20700</v>
      </c>
      <c r="D27" s="27" t="str">
        <f>VLOOKUP(C27,'Project Status'!C:G,5,FALSE)</f>
        <v>Arts &amp; Science</v>
      </c>
      <c r="E27" t="str">
        <f>VLOOKUP(C27,'Project Status'!C:I,7,FALSE)</f>
        <v>SC7 Chemistry - SG-1 Removal and Connection to Central Plant Steam</v>
      </c>
      <c r="F27" s="107">
        <f>VLOOKUP(C27,'Project Status'!C:L,10,FALSE)</f>
        <v>80000</v>
      </c>
      <c r="G27" s="108">
        <f>VLOOKUP(C27,'Project Status'!C:Q,15,FALSE)</f>
        <v>79623</v>
      </c>
      <c r="H27" s="128">
        <f>VLOOKUP(C27,'Project Status'!C:T,18,FALSE)</f>
        <v>0</v>
      </c>
    </row>
    <row r="28" spans="1:8" x14ac:dyDescent="0.4">
      <c r="A28" s="109">
        <v>23</v>
      </c>
      <c r="B28" t="str">
        <f>VLOOKUP(C28,'Project Status'!C:J,8,FALSE)</f>
        <v>Award</v>
      </c>
      <c r="C28" s="61">
        <v>20701</v>
      </c>
      <c r="D28" s="27" t="str">
        <f>VLOOKUP(C28,'Project Status'!C:G,5,FALSE)</f>
        <v>Arts &amp; Science</v>
      </c>
      <c r="E28" t="str">
        <f>VLOOKUP(C28,'Project Status'!C:I,7,FALSE)</f>
        <v>SC5 - Chemical Discharge Replacement</v>
      </c>
      <c r="F28" s="107">
        <f>VLOOKUP(C28,'Project Status'!C:L,10,FALSE)</f>
        <v>500000</v>
      </c>
      <c r="G28" s="108">
        <f>VLOOKUP(C28,'Project Status'!C:Q,15,FALSE)</f>
        <v>499093</v>
      </c>
      <c r="H28" s="128">
        <f>VLOOKUP(C28,'Project Status'!C:T,18,FALSE)</f>
        <v>0</v>
      </c>
    </row>
    <row r="29" spans="1:8" x14ac:dyDescent="0.4">
      <c r="A29" s="109">
        <v>24</v>
      </c>
      <c r="B29" t="str">
        <f>VLOOKUP(C29,'Project Status'!C:J,8,FALSE)</f>
        <v>Warranty or Construction Closeout</v>
      </c>
      <c r="C29" s="61">
        <v>20702</v>
      </c>
      <c r="D29" s="27" t="str">
        <f>VLOOKUP(C29,'Project Status'!C:G,5,FALSE)</f>
        <v>Peabody</v>
      </c>
      <c r="E29" t="str">
        <f>VLOOKUP(C29,'Project Status'!C:I,7,FALSE)</f>
        <v>Wyatt Center - Elevator #2 Modernization</v>
      </c>
      <c r="F29" s="107">
        <f>VLOOKUP(C29,'Project Status'!C:L,10,FALSE)</f>
        <v>225791</v>
      </c>
      <c r="G29" s="108">
        <f>VLOOKUP(C29,'Project Status'!C:Q,15,FALSE)</f>
        <v>239341</v>
      </c>
      <c r="H29" s="128">
        <f>VLOOKUP(C29,'Project Status'!C:T,18,FALSE)</f>
        <v>0</v>
      </c>
    </row>
    <row r="30" spans="1:8" x14ac:dyDescent="0.4">
      <c r="A30" s="109">
        <v>25</v>
      </c>
      <c r="B30" t="str">
        <f>VLOOKUP(C30,'Project Status'!C:J,8,FALSE)</f>
        <v>Construction</v>
      </c>
      <c r="C30" s="61">
        <v>20718</v>
      </c>
      <c r="D30" s="27" t="str">
        <f>VLOOKUP(C30,'Project Status'!C:G,5,FALSE)</f>
        <v>Arts &amp; Science</v>
      </c>
      <c r="E30" t="str">
        <f>VLOOKUP(C30,'Project Status'!C:I,7,FALSE)</f>
        <v>Buttrick Hall - 3rd Floor Inequality Renovations</v>
      </c>
      <c r="F30" s="107">
        <f>VLOOKUP(C30,'Project Status'!C:L,10,FALSE)</f>
        <v>715000</v>
      </c>
      <c r="G30" s="108">
        <f>VLOOKUP(C30,'Project Status'!C:Q,15,FALSE)</f>
        <v>96166</v>
      </c>
      <c r="H30" s="128">
        <f>VLOOKUP(C30,'Project Status'!C:T,18,FALSE)</f>
        <v>0</v>
      </c>
    </row>
    <row r="31" spans="1:8" x14ac:dyDescent="0.4">
      <c r="A31" s="109">
        <v>26</v>
      </c>
      <c r="B31" t="str">
        <f>VLOOKUP(C31,'Project Status'!C:J,8,FALSE)</f>
        <v>Bidding</v>
      </c>
      <c r="C31" s="61">
        <v>20723</v>
      </c>
      <c r="D31" s="27" t="str">
        <f>VLOOKUP(C31,'Project Status'!C:G,5,FALSE)</f>
        <v>SOM Basic Sciences</v>
      </c>
      <c r="E31" t="str">
        <f>VLOOKUP(C31,'Project Status'!C:I,7,FALSE)</f>
        <v>MRB III - 9th Floor (with 4 ,5 &amp; 8) - Replace Controls (Phase 3)</v>
      </c>
      <c r="F31" s="107">
        <f>VLOOKUP(C31,'Project Status'!C:L,10,FALSE)</f>
        <v>1600000</v>
      </c>
      <c r="G31" s="108">
        <f>VLOOKUP(C31,'Project Status'!C:Q,15,FALSE)</f>
        <v>160500</v>
      </c>
      <c r="H31" s="128">
        <f>VLOOKUP(C31,'Project Status'!C:T,18,FALSE)</f>
        <v>1439500</v>
      </c>
    </row>
    <row r="32" spans="1:8" x14ac:dyDescent="0.4">
      <c r="A32" s="109">
        <v>27</v>
      </c>
      <c r="B32" t="str">
        <f>VLOOKUP(C32,'Project Status'!C:J,8,FALSE)</f>
        <v>Bidding</v>
      </c>
      <c r="C32" s="61">
        <v>20724</v>
      </c>
      <c r="D32" s="27" t="str">
        <f>VLOOKUP(C32,'Project Status'!C:G,5,FALSE)</f>
        <v>Blair</v>
      </c>
      <c r="E32" t="str">
        <f>VLOOKUP(C32,'Project Status'!C:I,7,FALSE)</f>
        <v>Blair School of Music - Steam Line</v>
      </c>
      <c r="F32" s="107">
        <f>VLOOKUP(C32,'Project Status'!C:L,10,FALSE)</f>
        <v>1500000</v>
      </c>
      <c r="G32" s="108">
        <f>VLOOKUP(C32,'Project Status'!C:Q,15,FALSE)</f>
        <v>23400</v>
      </c>
      <c r="H32" s="128">
        <f>VLOOKUP(C32,'Project Status'!C:T,18,FALSE)</f>
        <v>1476600</v>
      </c>
    </row>
    <row r="33" spans="1:8" x14ac:dyDescent="0.4">
      <c r="A33" s="109">
        <v>28</v>
      </c>
      <c r="B33" t="str">
        <f>VLOOKUP(C33,'Project Status'!C:J,8,FALSE)</f>
        <v>Construction</v>
      </c>
      <c r="C33" s="61">
        <v>20735</v>
      </c>
      <c r="D33" s="27" t="str">
        <f>VLOOKUP(C33,'Project Status'!C:G,5,FALSE)</f>
        <v>Owen</v>
      </c>
      <c r="E33" t="str">
        <f>VLOOKUP(C33,'Project Status'!C:I,7,FALSE)</f>
        <v>Owen - Roof Replacement (Third Level)</v>
      </c>
      <c r="F33" s="107">
        <f>VLOOKUP(C33,'Project Status'!C:L,10,FALSE)</f>
        <v>300000</v>
      </c>
      <c r="G33" s="108">
        <f>VLOOKUP(C33,'Project Status'!C:Q,15,FALSE)</f>
        <v>300000</v>
      </c>
      <c r="H33" s="128">
        <f>VLOOKUP(C33,'Project Status'!C:T,18,FALSE)</f>
        <v>0</v>
      </c>
    </row>
    <row r="34" spans="1:8" x14ac:dyDescent="0.4">
      <c r="A34" s="109">
        <v>29</v>
      </c>
      <c r="B34" t="str">
        <f>VLOOKUP(C34,'Project Status'!C:J,8,FALSE)</f>
        <v>Design</v>
      </c>
      <c r="C34" s="61">
        <v>20767</v>
      </c>
      <c r="D34" s="27" t="str">
        <f>VLOOKUP(C34,'Project Status'!C:G,5,FALSE)</f>
        <v>Peabody</v>
      </c>
      <c r="E34" t="str">
        <f>VLOOKUP(C34,'Project Status'!C:I,7,FALSE)</f>
        <v>Six Magnolia Circle - Foundation Repairs</v>
      </c>
      <c r="F34" s="107">
        <f>VLOOKUP(C34,'Project Status'!C:L,10,FALSE)</f>
        <v>0</v>
      </c>
      <c r="G34" s="108">
        <f>VLOOKUP(C34,'Project Status'!C:Q,15,FALSE)</f>
        <v>0</v>
      </c>
      <c r="H34" s="128">
        <f>VLOOKUP(C34,'Project Status'!C:T,18,FALSE)</f>
        <v>35000</v>
      </c>
    </row>
    <row r="35" spans="1:8" x14ac:dyDescent="0.4">
      <c r="A35" s="109">
        <v>30</v>
      </c>
      <c r="B35" t="str">
        <f>VLOOKUP(C35,'Project Status'!C:J,8,FALSE)</f>
        <v>Financial Closeout</v>
      </c>
      <c r="C35" s="61">
        <v>20771</v>
      </c>
      <c r="D35" s="27" t="str">
        <f>VLOOKUP(C35,'Project Status'!C:G,5,FALSE)</f>
        <v>Arts &amp; Science</v>
      </c>
      <c r="E35" t="str">
        <f>VLOOKUP(C35,'Project Status'!C:I,7,FALSE)</f>
        <v>SC4 - Interstitial Space HVAC Modifications</v>
      </c>
      <c r="F35" s="107">
        <f>VLOOKUP(C35,'Project Status'!C:L,10,FALSE)</f>
        <v>25000</v>
      </c>
      <c r="G35" s="108">
        <f>VLOOKUP(C35,'Project Status'!C:Q,15,FALSE)</f>
        <v>24997</v>
      </c>
      <c r="H35" s="128">
        <f>VLOOKUP(C35,'Project Status'!C:T,18,FALSE)</f>
        <v>0</v>
      </c>
    </row>
    <row r="36" spans="1:8" x14ac:dyDescent="0.4">
      <c r="A36" s="109">
        <v>31</v>
      </c>
      <c r="B36" t="str">
        <f>VLOOKUP(C36,'Project Status'!C:J,8,FALSE)</f>
        <v>Programming or Planning</v>
      </c>
      <c r="C36" s="61">
        <v>20772</v>
      </c>
      <c r="D36" s="27" t="str">
        <f>VLOOKUP(C36,'Project Status'!C:G,5,FALSE)</f>
        <v>Owen</v>
      </c>
      <c r="E36" t="str">
        <f>VLOOKUP(C36,'Project Status'!C:I,7,FALSE)</f>
        <v>Owen - Roof Replacement (Slate Portion)</v>
      </c>
      <c r="F36" s="107">
        <f>VLOOKUP(C36,'Project Status'!C:L,10,FALSE)</f>
        <v>0</v>
      </c>
      <c r="G36" s="108">
        <f>VLOOKUP(C36,'Project Status'!C:Q,15,FALSE)</f>
        <v>0</v>
      </c>
      <c r="H36" s="128">
        <f>VLOOKUP(C36,'Project Status'!C:T,18,FALSE)</f>
        <v>0</v>
      </c>
    </row>
    <row r="37" spans="1:8" x14ac:dyDescent="0.4">
      <c r="A37" s="109">
        <v>32</v>
      </c>
      <c r="B37" t="str">
        <f>VLOOKUP(C37,'Project Status'!C:J,8,FALSE)</f>
        <v>Construction</v>
      </c>
      <c r="C37" s="61">
        <v>20792</v>
      </c>
      <c r="D37" s="27" t="str">
        <f>VLOOKUP(C37,'Project Status'!C:G,5,FALSE)</f>
        <v>Law</v>
      </c>
      <c r="E37" t="str">
        <f>VLOOKUP(C37,'Project Status'!C:I,7,FALSE)</f>
        <v>Law School - Sections 1, 2, &amp; 3  Roof Replacement</v>
      </c>
      <c r="F37" s="107">
        <f>VLOOKUP(C37,'Project Status'!C:L,10,FALSE)</f>
        <v>400000</v>
      </c>
      <c r="G37" s="108">
        <f>VLOOKUP(C37,'Project Status'!C:Q,15,FALSE)</f>
        <v>483440</v>
      </c>
      <c r="H37" s="128">
        <f>VLOOKUP(C37,'Project Status'!C:T,18,FALSE)</f>
        <v>0</v>
      </c>
    </row>
    <row r="38" spans="1:8" x14ac:dyDescent="0.4">
      <c r="A38" s="109">
        <v>33</v>
      </c>
      <c r="B38" t="str">
        <f>VLOOKUP(C38,'Project Status'!C:J,8,FALSE)</f>
        <v>Not Started</v>
      </c>
      <c r="C38" s="61">
        <v>20832</v>
      </c>
      <c r="D38" s="27" t="str">
        <f>VLOOKUP(C38,'Project Status'!C:G,5,FALSE)</f>
        <v>Arts &amp; Science</v>
      </c>
      <c r="E38" t="str">
        <f>VLOOKUP(C38,'Project Status'!C:I,7,FALSE)</f>
        <v>Wilson Hall - HVAC Replacement</v>
      </c>
      <c r="F38" s="107">
        <f>VLOOKUP(C38,'Project Status'!C:L,10,FALSE)</f>
        <v>0</v>
      </c>
      <c r="G38" s="108">
        <f>VLOOKUP(C38,'Project Status'!C:Q,15,FALSE)</f>
        <v>0</v>
      </c>
      <c r="H38" s="128">
        <f>VLOOKUP(C38,'Project Status'!C:T,18,FALSE)</f>
        <v>0</v>
      </c>
    </row>
    <row r="39" spans="1:8" x14ac:dyDescent="0.4">
      <c r="A39" s="109">
        <v>34</v>
      </c>
      <c r="B39" t="str">
        <f>VLOOKUP(C39,'Project Status'!C:J,8,FALSE)</f>
        <v>Not Started</v>
      </c>
      <c r="C39" s="61">
        <v>20833</v>
      </c>
      <c r="D39" s="27" t="str">
        <f>VLOOKUP(C39,'Project Status'!C:G,5,FALSE)</f>
        <v>Arts &amp; Science</v>
      </c>
      <c r="E39" t="str">
        <f>VLOOKUP(C39,'Project Status'!C:I,7,FALSE)</f>
        <v>SC5 - HVAC Replacement</v>
      </c>
      <c r="F39" s="107">
        <f>VLOOKUP(C39,'Project Status'!C:L,10,FALSE)</f>
        <v>0</v>
      </c>
      <c r="G39" s="108">
        <f>VLOOKUP(C39,'Project Status'!C:Q,15,FALSE)</f>
        <v>0</v>
      </c>
      <c r="H39" s="128">
        <f>VLOOKUP(C39,'Project Status'!C:T,18,FALSE)</f>
        <v>0</v>
      </c>
    </row>
    <row r="40" spans="1:8" s="20" customFormat="1" x14ac:dyDescent="0.4">
      <c r="F40" s="82">
        <f>SUM(F6:F39)</f>
        <v>27855242.759999998</v>
      </c>
      <c r="G40" s="83">
        <f>SUM(G6:G39)</f>
        <v>8797286.2599999998</v>
      </c>
      <c r="H40" s="129">
        <f>SUM(H6:H39)</f>
        <v>7780137.5</v>
      </c>
    </row>
    <row r="41" spans="1:8" s="20" customFormat="1" x14ac:dyDescent="0.4">
      <c r="F41" s="76"/>
      <c r="G41" s="76"/>
      <c r="H41" s="76"/>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100">
        <f>VLOOKUP(A4,'Project Status'!C:M,11,FALSE)</f>
        <v>499093</v>
      </c>
    </row>
    <row r="8" spans="1:11" x14ac:dyDescent="0.4">
      <c r="E8" s="43" t="s">
        <v>126</v>
      </c>
    </row>
    <row r="9" spans="1:11" x14ac:dyDescent="0.4">
      <c r="E9" s="22" t="s">
        <v>281</v>
      </c>
      <c r="F9" s="35" t="s">
        <v>141</v>
      </c>
      <c r="H9" s="111">
        <v>499093</v>
      </c>
    </row>
    <row r="10" spans="1:11" x14ac:dyDescent="0.4">
      <c r="E10" s="22"/>
      <c r="H10" s="44"/>
    </row>
    <row r="18" spans="5:8" x14ac:dyDescent="0.4">
      <c r="E18" s="163" t="s">
        <v>280</v>
      </c>
      <c r="F18" s="164"/>
      <c r="G18" s="163"/>
      <c r="H18" s="165">
        <f>SUM(H9:H17)</f>
        <v>499093</v>
      </c>
    </row>
    <row r="20" spans="5:8" x14ac:dyDescent="0.4">
      <c r="E20" s="166" t="s">
        <v>138</v>
      </c>
      <c r="F20" s="166"/>
      <c r="G20" s="166"/>
      <c r="H20" s="167">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Warranty or Construction Closeout</v>
      </c>
      <c r="G4" s="11" t="str">
        <f>VLOOKUP(A4,'Project Status'!C:K,9,FALSE)</f>
        <v>Ben Bedock</v>
      </c>
      <c r="H4" s="100">
        <f>VLOOKUP(A4,'Project Status'!C:M,11,FALSE)</f>
        <v>239341</v>
      </c>
    </row>
    <row r="8" spans="1:11" x14ac:dyDescent="0.4">
      <c r="E8" s="43" t="s">
        <v>126</v>
      </c>
    </row>
    <row r="9" spans="1:11" x14ac:dyDescent="0.4">
      <c r="E9" s="22" t="s">
        <v>219</v>
      </c>
      <c r="F9" s="35" t="s">
        <v>141</v>
      </c>
      <c r="H9" s="44">
        <v>13550</v>
      </c>
    </row>
    <row r="10" spans="1:11" x14ac:dyDescent="0.4">
      <c r="E10" s="22" t="s">
        <v>237</v>
      </c>
      <c r="F10" t="s">
        <v>218</v>
      </c>
      <c r="H10" s="44">
        <v>225791</v>
      </c>
    </row>
    <row r="18" spans="5:8" x14ac:dyDescent="0.4">
      <c r="E18" s="163" t="s">
        <v>280</v>
      </c>
      <c r="F18" s="164"/>
      <c r="G18" s="163"/>
      <c r="H18" s="165">
        <f>SUM(H9:H17)</f>
        <v>239341</v>
      </c>
    </row>
    <row r="20" spans="5:8" x14ac:dyDescent="0.4">
      <c r="E20" s="166" t="s">
        <v>138</v>
      </c>
      <c r="F20" s="166"/>
      <c r="G20" s="166"/>
      <c r="H20" s="167">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17.15234375" bestFit="1" customWidth="1"/>
    <col min="7" max="7" width="8.843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Construction</v>
      </c>
      <c r="G4" s="11" t="str">
        <f>VLOOKUP(A4,'Project Status'!C:K,9,FALSE)</f>
        <v>Erin Fry</v>
      </c>
      <c r="H4" s="100">
        <f>VLOOKUP(A4,'Project Status'!C:M,11,FALSE)</f>
        <v>715000</v>
      </c>
    </row>
    <row r="8" spans="1:11" x14ac:dyDescent="0.4">
      <c r="E8" s="43" t="s">
        <v>126</v>
      </c>
    </row>
    <row r="9" spans="1:11" x14ac:dyDescent="0.4">
      <c r="E9" s="22" t="s">
        <v>297</v>
      </c>
      <c r="F9" s="35" t="s">
        <v>296</v>
      </c>
      <c r="H9" s="44">
        <v>96166</v>
      </c>
    </row>
    <row r="10" spans="1:11" x14ac:dyDescent="0.4">
      <c r="E10" s="22"/>
      <c r="F10" s="20" t="s">
        <v>299</v>
      </c>
      <c r="H10" s="44"/>
    </row>
    <row r="11" spans="1:11" x14ac:dyDescent="0.4">
      <c r="E11" s="34" t="s">
        <v>301</v>
      </c>
      <c r="H11" s="110">
        <f>715000-96166</f>
        <v>618834</v>
      </c>
    </row>
    <row r="13" spans="1:11" x14ac:dyDescent="0.4">
      <c r="H13" s="46">
        <f>SUM(H9:H11)</f>
        <v>715000</v>
      </c>
    </row>
    <row r="18" spans="5:8" x14ac:dyDescent="0.4">
      <c r="E18" s="163" t="s">
        <v>280</v>
      </c>
      <c r="F18" s="164"/>
      <c r="G18" s="163"/>
      <c r="H18" s="165">
        <f>H9</f>
        <v>96166</v>
      </c>
    </row>
    <row r="20" spans="5:8" x14ac:dyDescent="0.4">
      <c r="E20" s="166" t="s">
        <v>138</v>
      </c>
      <c r="F20" s="166"/>
      <c r="G20" s="166"/>
      <c r="H20" s="167">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Bidding</v>
      </c>
      <c r="G4" s="11" t="str">
        <f>VLOOKUP(A4,'Project Status'!C:K,9,FALSE)</f>
        <v>Hans Mooy</v>
      </c>
      <c r="H4" s="100">
        <f>VLOOKUP(A4,'Project Status'!C:M,11,FALSE)</f>
        <v>160500</v>
      </c>
    </row>
    <row r="8" spans="1:11" x14ac:dyDescent="0.4">
      <c r="E8" s="43" t="s">
        <v>126</v>
      </c>
    </row>
    <row r="9" spans="1:11" x14ac:dyDescent="0.4">
      <c r="E9" s="22" t="s">
        <v>261</v>
      </c>
      <c r="F9" s="35"/>
      <c r="H9" s="44">
        <v>24500</v>
      </c>
    </row>
    <row r="10" spans="1:11" x14ac:dyDescent="0.4">
      <c r="E10" s="22" t="s">
        <v>281</v>
      </c>
      <c r="H10" s="44">
        <v>136000</v>
      </c>
    </row>
    <row r="18" spans="5:8" x14ac:dyDescent="0.4">
      <c r="E18" s="163" t="s">
        <v>280</v>
      </c>
      <c r="F18" s="164"/>
      <c r="G18" s="163"/>
      <c r="H18" s="165">
        <f>SUM(H9:H17)</f>
        <v>160500</v>
      </c>
    </row>
    <row r="20" spans="5:8" x14ac:dyDescent="0.4">
      <c r="E20" s="166" t="s">
        <v>138</v>
      </c>
      <c r="F20" s="166"/>
      <c r="G20" s="166"/>
      <c r="H20" s="167">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Bidding</v>
      </c>
      <c r="G4" s="11" t="str">
        <f>VLOOKUP(A4,'Project Status'!C:K,9,FALSE)</f>
        <v>Hans Mooy</v>
      </c>
      <c r="H4" s="100">
        <f>VLOOKUP(A4,'Project Status'!C:M,11,FALSE)</f>
        <v>23400</v>
      </c>
    </row>
    <row r="8" spans="1:11" x14ac:dyDescent="0.4">
      <c r="E8" s="43" t="s">
        <v>126</v>
      </c>
    </row>
    <row r="9" spans="1:11" x14ac:dyDescent="0.4">
      <c r="E9" t="s">
        <v>244</v>
      </c>
      <c r="F9" t="s">
        <v>141</v>
      </c>
      <c r="H9" s="44">
        <v>23400</v>
      </c>
    </row>
    <row r="12" spans="1:11" x14ac:dyDescent="0.4">
      <c r="F12" s="10"/>
      <c r="G12" s="10"/>
      <c r="H12" s="47"/>
    </row>
    <row r="18" spans="5:8" x14ac:dyDescent="0.4">
      <c r="E18" s="163" t="s">
        <v>280</v>
      </c>
      <c r="F18" s="164"/>
      <c r="G18" s="163"/>
      <c r="H18" s="165">
        <f>SUM(H9:H17)</f>
        <v>23400</v>
      </c>
    </row>
    <row r="20" spans="5:8" x14ac:dyDescent="0.4">
      <c r="E20" s="166" t="s">
        <v>138</v>
      </c>
      <c r="F20" s="166"/>
      <c r="G20" s="166"/>
      <c r="H20" s="167">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Construction</v>
      </c>
      <c r="G4" s="11" t="str">
        <f>VLOOKUP(A4,'Project Status'!C:K,9,FALSE)</f>
        <v>Ben Bedock</v>
      </c>
      <c r="H4" s="100">
        <f>VLOOKUP(A4,'Project Status'!C:M,11,FALSE)</f>
        <v>300000</v>
      </c>
    </row>
    <row r="8" spans="1:11" x14ac:dyDescent="0.4">
      <c r="E8" s="43" t="s">
        <v>126</v>
      </c>
    </row>
    <row r="9" spans="1:11" x14ac:dyDescent="0.4">
      <c r="E9" s="22" t="s">
        <v>289</v>
      </c>
      <c r="F9" t="s">
        <v>141</v>
      </c>
      <c r="H9" s="44">
        <v>300000</v>
      </c>
    </row>
    <row r="10" spans="1:11" x14ac:dyDescent="0.4">
      <c r="E10" s="22"/>
    </row>
    <row r="12" spans="1:11" x14ac:dyDescent="0.4">
      <c r="F12" s="10"/>
      <c r="G12" s="10"/>
      <c r="H12" s="47"/>
    </row>
    <row r="18" spans="5:8" x14ac:dyDescent="0.4">
      <c r="E18" s="163" t="s">
        <v>280</v>
      </c>
      <c r="F18" s="164"/>
      <c r="G18" s="163"/>
      <c r="H18" s="165">
        <f>SUM(H9:H17)</f>
        <v>300000</v>
      </c>
    </row>
    <row r="20" spans="5:8" x14ac:dyDescent="0.4">
      <c r="E20" s="166" t="s">
        <v>138</v>
      </c>
      <c r="F20" s="166"/>
      <c r="G20" s="166"/>
      <c r="H20" s="167">
        <f>H4-H18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Financial Closeout</v>
      </c>
      <c r="G4" s="11" t="str">
        <f>VLOOKUP(A4,'Project Status'!C:K,9,FALSE)</f>
        <v>Sean Rewers</v>
      </c>
      <c r="H4" s="100">
        <f>VLOOKUP(A4,'Project Status'!C:M,11,FALSE)</f>
        <v>24997</v>
      </c>
    </row>
    <row r="8" spans="1:11" x14ac:dyDescent="0.4">
      <c r="E8" s="43" t="s">
        <v>126</v>
      </c>
    </row>
    <row r="9" spans="1:11" x14ac:dyDescent="0.4">
      <c r="E9" s="22" t="s">
        <v>281</v>
      </c>
      <c r="F9" t="s">
        <v>141</v>
      </c>
      <c r="H9" s="44">
        <v>19297</v>
      </c>
    </row>
    <row r="10" spans="1:11" x14ac:dyDescent="0.4">
      <c r="E10" s="22" t="s">
        <v>289</v>
      </c>
      <c r="F10" t="s">
        <v>218</v>
      </c>
      <c r="H10" s="44">
        <v>5700</v>
      </c>
    </row>
    <row r="12" spans="1:11" x14ac:dyDescent="0.4">
      <c r="F12" s="10"/>
      <c r="G12" s="10"/>
      <c r="H12" s="47"/>
    </row>
    <row r="18" spans="5:8" x14ac:dyDescent="0.4">
      <c r="E18" s="163" t="s">
        <v>280</v>
      </c>
      <c r="F18" s="164"/>
      <c r="G18" s="163"/>
      <c r="H18" s="165">
        <f>SUM(H9:H17)</f>
        <v>24997</v>
      </c>
    </row>
    <row r="20" spans="5:8" x14ac:dyDescent="0.4">
      <c r="E20" s="166" t="s">
        <v>138</v>
      </c>
      <c r="F20" s="166"/>
      <c r="G20" s="166"/>
      <c r="H20" s="167">
        <f>H4-H18</f>
        <v>0</v>
      </c>
    </row>
  </sheetData>
  <hyperlinks>
    <hyperlink ref="K1" location="'Project Status'!A1" display="'Project Status'!A1" xr:uid="{FE9FE35D-5ADF-428F-9C73-430E553BB9E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6.69140625" bestFit="1" customWidth="1"/>
    <col min="7" max="7" width="11.3046875" bestFit="1" customWidth="1"/>
    <col min="8" max="8"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Construction</v>
      </c>
      <c r="G4" s="11" t="str">
        <f>VLOOKUP(A4,'Project Status'!C:K,9,FALSE)</f>
        <v>Ben Bedock</v>
      </c>
      <c r="H4" s="100">
        <f>VLOOKUP(A4,'Project Status'!C:M,11,FALSE)</f>
        <v>483440</v>
      </c>
    </row>
    <row r="8" spans="1:11" x14ac:dyDescent="0.4">
      <c r="E8" s="43" t="s">
        <v>126</v>
      </c>
    </row>
    <row r="9" spans="1:11" x14ac:dyDescent="0.4">
      <c r="E9" s="22" t="s">
        <v>322</v>
      </c>
      <c r="F9" t="s">
        <v>141</v>
      </c>
      <c r="H9" s="44">
        <v>483440</v>
      </c>
    </row>
    <row r="10" spans="1:11" x14ac:dyDescent="0.4">
      <c r="E10" s="22"/>
      <c r="H10" s="44"/>
    </row>
    <row r="12" spans="1:11" x14ac:dyDescent="0.4">
      <c r="F12" s="10"/>
      <c r="G12" s="10"/>
      <c r="H12" s="47"/>
    </row>
    <row r="18" spans="5:8" x14ac:dyDescent="0.4">
      <c r="E18" s="163" t="s">
        <v>280</v>
      </c>
      <c r="F18" s="164"/>
      <c r="G18" s="163"/>
      <c r="H18" s="165">
        <f>SUM(H9:H17)</f>
        <v>483440</v>
      </c>
    </row>
    <row r="20" spans="5:8" x14ac:dyDescent="0.4">
      <c r="E20" s="166" t="s">
        <v>138</v>
      </c>
      <c r="F20" s="166"/>
      <c r="G20" s="166"/>
      <c r="H20" s="167">
        <f>H4-H18</f>
        <v>0</v>
      </c>
    </row>
  </sheetData>
  <hyperlinks>
    <hyperlink ref="K1" location="'Project Status'!A1" display="'Project Status'!A1" xr:uid="{8D4B950B-46B9-453E-93D9-3BBF9A5CCE1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286</v>
      </c>
    </row>
    <row r="2" spans="1:10" x14ac:dyDescent="0.4">
      <c r="B2" s="48" t="s">
        <v>142</v>
      </c>
    </row>
    <row r="3" spans="1:10" x14ac:dyDescent="0.4">
      <c r="B3" t="s">
        <v>144</v>
      </c>
    </row>
    <row r="4" spans="1:10" x14ac:dyDescent="0.4">
      <c r="B4" s="49" t="s">
        <v>143</v>
      </c>
      <c r="C4" s="50">
        <f>Contributions!C14</f>
        <v>9364499</v>
      </c>
    </row>
    <row r="5" spans="1:10" x14ac:dyDescent="0.4">
      <c r="B5" s="54" t="s">
        <v>147</v>
      </c>
      <c r="C5" s="55">
        <f>SUM(C1:C4)</f>
        <v>9364499</v>
      </c>
      <c r="J5" s="22"/>
    </row>
    <row r="8" spans="1:10" x14ac:dyDescent="0.4">
      <c r="B8" t="s">
        <v>145</v>
      </c>
      <c r="F8" s="45"/>
    </row>
    <row r="9" spans="1:10" x14ac:dyDescent="0.4">
      <c r="B9" s="22" t="s">
        <v>136</v>
      </c>
      <c r="C9" s="44">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9"/>
    </row>
    <row r="10" spans="1:10" x14ac:dyDescent="0.4">
      <c r="B10" s="22" t="s">
        <v>168</v>
      </c>
      <c r="C10" s="44">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9"/>
    </row>
    <row r="11" spans="1:10" x14ac:dyDescent="0.4">
      <c r="B11" s="22" t="s">
        <v>178</v>
      </c>
      <c r="C11" s="44">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9"/>
    </row>
    <row r="12" spans="1:10" x14ac:dyDescent="0.4">
      <c r="B12" s="22" t="s">
        <v>219</v>
      </c>
      <c r="C12" s="44">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9"/>
    </row>
    <row r="13" spans="1:10" x14ac:dyDescent="0.4">
      <c r="B13" s="22" t="s">
        <v>230</v>
      </c>
      <c r="C13" s="44">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9"/>
    </row>
    <row r="14" spans="1:10" x14ac:dyDescent="0.4">
      <c r="B14" s="22" t="s">
        <v>237</v>
      </c>
      <c r="C14" s="44">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9"/>
    </row>
    <row r="15" spans="1:10" x14ac:dyDescent="0.4">
      <c r="B15" s="22" t="s">
        <v>244</v>
      </c>
      <c r="C15" s="44">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9"/>
    </row>
    <row r="16" spans="1:10" x14ac:dyDescent="0.4">
      <c r="B16" s="22" t="s">
        <v>261</v>
      </c>
      <c r="C16" s="44">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9"/>
    </row>
    <row r="17" spans="1:8" x14ac:dyDescent="0.4">
      <c r="B17" s="22" t="s">
        <v>281</v>
      </c>
      <c r="C17" s="44">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4"/>
    </row>
    <row r="18" spans="1:8" x14ac:dyDescent="0.4">
      <c r="B18" s="22" t="s">
        <v>289</v>
      </c>
      <c r="C18" s="44">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4"/>
    </row>
    <row r="19" spans="1:8" x14ac:dyDescent="0.4">
      <c r="B19" s="22" t="s">
        <v>297</v>
      </c>
      <c r="C19" s="44">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9" t="s">
        <v>322</v>
      </c>
      <c r="C20" s="50">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9"/>
      <c r="B21" s="56" t="s">
        <v>146</v>
      </c>
      <c r="C21" s="57">
        <f>SUM(C9:C20)</f>
        <v>8797286.2599999998</v>
      </c>
      <c r="D21" s="79">
        <f>C21/C5</f>
        <v>0.93942946227021862</v>
      </c>
      <c r="H21" s="79"/>
    </row>
    <row r="24" spans="1:8" x14ac:dyDescent="0.4">
      <c r="A24" s="79"/>
      <c r="B24" s="52" t="s">
        <v>138</v>
      </c>
      <c r="C24" s="53">
        <f>C5-C21</f>
        <v>567212.74000000022</v>
      </c>
      <c r="D24" s="79">
        <f>C24/C5</f>
        <v>6.0570537729781403E-2</v>
      </c>
      <c r="H24" s="7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J26"/>
  <sheetViews>
    <sheetView zoomScaleNormal="100" workbookViewId="0"/>
  </sheetViews>
  <sheetFormatPr defaultRowHeight="14.6" x14ac:dyDescent="0.4"/>
  <cols>
    <col min="1" max="1" width="5.69140625" customWidth="1"/>
    <col min="2" max="2" width="23.3046875" bestFit="1" customWidth="1"/>
    <col min="3" max="3" width="15.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286</v>
      </c>
    </row>
    <row r="2" spans="1:10" x14ac:dyDescent="0.4">
      <c r="B2" s="48" t="s">
        <v>142</v>
      </c>
    </row>
    <row r="3" spans="1:10" x14ac:dyDescent="0.4">
      <c r="B3" t="s">
        <v>144</v>
      </c>
      <c r="E3" s="48" t="s">
        <v>375</v>
      </c>
    </row>
    <row r="4" spans="1:10" x14ac:dyDescent="0.4">
      <c r="B4" s="49" t="s">
        <v>338</v>
      </c>
      <c r="C4" s="50">
        <f>Contributions!G14</f>
        <v>11029283.289999999</v>
      </c>
      <c r="E4" s="22" t="s">
        <v>140</v>
      </c>
      <c r="F4" s="44">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4" t="s">
        <v>147</v>
      </c>
      <c r="C5" s="55">
        <f>SUM(C1:C4)</f>
        <v>11029283.289999999</v>
      </c>
      <c r="J5" s="22"/>
    </row>
    <row r="8" spans="1:10" x14ac:dyDescent="0.4">
      <c r="B8" t="s">
        <v>145</v>
      </c>
      <c r="F8" s="45"/>
    </row>
    <row r="9" spans="1:10" x14ac:dyDescent="0.4">
      <c r="B9" s="22" t="s">
        <v>374</v>
      </c>
      <c r="C9" s="44">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9"/>
    </row>
    <row r="10" spans="1:10" x14ac:dyDescent="0.4">
      <c r="B10" s="22"/>
      <c r="F10" s="159"/>
    </row>
    <row r="11" spans="1:10" x14ac:dyDescent="0.4">
      <c r="B11" s="22"/>
      <c r="F11" s="159"/>
    </row>
    <row r="12" spans="1:10" x14ac:dyDescent="0.4">
      <c r="B12" s="22"/>
      <c r="F12" s="159"/>
    </row>
    <row r="13" spans="1:10" x14ac:dyDescent="0.4">
      <c r="B13" s="22"/>
      <c r="F13" s="159"/>
    </row>
    <row r="14" spans="1:10" x14ac:dyDescent="0.4">
      <c r="B14" s="22"/>
      <c r="F14" s="159"/>
    </row>
    <row r="15" spans="1:10" x14ac:dyDescent="0.4">
      <c r="B15" s="22"/>
      <c r="F15" s="159"/>
    </row>
    <row r="16" spans="1:10" x14ac:dyDescent="0.4">
      <c r="B16" s="22"/>
      <c r="F16" s="159"/>
    </row>
    <row r="17" spans="1:8" x14ac:dyDescent="0.4">
      <c r="B17" s="22"/>
      <c r="F17" s="44"/>
    </row>
    <row r="18" spans="1:8" x14ac:dyDescent="0.4">
      <c r="B18" s="22"/>
      <c r="F18" s="44"/>
    </row>
    <row r="19" spans="1:8" x14ac:dyDescent="0.4">
      <c r="B19" s="22"/>
    </row>
    <row r="20" spans="1:8" x14ac:dyDescent="0.4">
      <c r="B20" s="49"/>
      <c r="C20" s="50"/>
    </row>
    <row r="21" spans="1:8" x14ac:dyDescent="0.4">
      <c r="A21" s="79"/>
      <c r="B21" s="56" t="s">
        <v>146</v>
      </c>
      <c r="C21" s="57">
        <f>SUM(C9:C20)</f>
        <v>1028900</v>
      </c>
      <c r="D21" s="79"/>
      <c r="H21" s="79"/>
    </row>
    <row r="23" spans="1:8" x14ac:dyDescent="0.4">
      <c r="B23" s="22" t="s">
        <v>376</v>
      </c>
      <c r="C23" s="44">
        <f>'JE LOG_FY23'!C24</f>
        <v>567212.74000000022</v>
      </c>
    </row>
    <row r="24" spans="1:8" x14ac:dyDescent="0.4">
      <c r="B24" s="22" t="s">
        <v>377</v>
      </c>
      <c r="C24" s="44">
        <f>F4</f>
        <v>0</v>
      </c>
    </row>
    <row r="26" spans="1:8" x14ac:dyDescent="0.4">
      <c r="A26" s="79"/>
      <c r="B26" s="52" t="s">
        <v>138</v>
      </c>
      <c r="C26" s="53">
        <f>C5-C21+C23-C24</f>
        <v>10567596.029999999</v>
      </c>
      <c r="D26" s="79"/>
      <c r="H26" s="79"/>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4" t="s">
        <v>195</v>
      </c>
      <c r="B1"/>
      <c r="D1"/>
      <c r="E1"/>
      <c r="F1"/>
      <c r="G1"/>
      <c r="H1"/>
      <c r="I1"/>
      <c r="J1"/>
      <c r="K1"/>
      <c r="L1"/>
    </row>
    <row r="2" spans="1:12" s="8" customFormat="1" x14ac:dyDescent="0.4">
      <c r="A2" s="20"/>
      <c r="B2" s="35"/>
      <c r="C2"/>
      <c r="D2"/>
      <c r="E2"/>
      <c r="F2"/>
      <c r="G2"/>
      <c r="H2"/>
      <c r="I2"/>
      <c r="J2"/>
      <c r="K2"/>
      <c r="L2"/>
    </row>
    <row r="3" spans="1:12" ht="15" thickBot="1" x14ac:dyDescent="0.45"/>
    <row r="4" spans="1:12" ht="43.75" customHeight="1" x14ac:dyDescent="0.4">
      <c r="A4" s="23" t="s">
        <v>86</v>
      </c>
      <c r="B4" s="23" t="s">
        <v>99</v>
      </c>
      <c r="C4" s="141" t="s">
        <v>258</v>
      </c>
      <c r="D4" s="142" t="s">
        <v>333</v>
      </c>
      <c r="E4" s="143" t="s">
        <v>124</v>
      </c>
      <c r="F4" s="142" t="s">
        <v>332</v>
      </c>
      <c r="G4" s="144" t="s">
        <v>251</v>
      </c>
      <c r="H4" s="153" t="s">
        <v>259</v>
      </c>
      <c r="I4" s="154" t="s">
        <v>334</v>
      </c>
      <c r="J4" s="143" t="s">
        <v>124</v>
      </c>
      <c r="K4" s="154" t="s">
        <v>256</v>
      </c>
      <c r="L4" s="144" t="s">
        <v>257</v>
      </c>
    </row>
    <row r="5" spans="1:12" x14ac:dyDescent="0.4">
      <c r="A5" t="s">
        <v>198</v>
      </c>
      <c r="B5" s="21">
        <f>Contributions!B5</f>
        <v>1075461.7320675128</v>
      </c>
      <c r="C5" s="145">
        <f>Contributions!C5/1000000</f>
        <v>3.6638259999999998</v>
      </c>
      <c r="D5" s="146">
        <f>SUMIF('Project Status'!G:G,'Shared Building Allocation'!A5,'Project Status'!Q:Q)/1000000</f>
        <v>1.7179739999999999</v>
      </c>
      <c r="E5" s="147">
        <f>D22/1000000</f>
        <v>0.55831562499999998</v>
      </c>
      <c r="F5" s="146">
        <f>D5+E5</f>
        <v>2.276289625</v>
      </c>
      <c r="G5" s="148">
        <f>C5-F5</f>
        <v>1.3875363749999998</v>
      </c>
      <c r="H5" s="155">
        <f>Contributions!G5/1000000</f>
        <v>4.2048135899999997</v>
      </c>
      <c r="I5" s="156">
        <f>SUMIF('Project Status'!G:G,'Shared Building Allocation'!A5,'Project Status'!T:T)/1000000</f>
        <v>1.0288999999999999</v>
      </c>
      <c r="J5" s="147">
        <f>I22/1000000</f>
        <v>0.50382499999999997</v>
      </c>
      <c r="K5" s="156">
        <f t="shared" ref="K5:K13" si="0">I5+J5</f>
        <v>1.5327249999999999</v>
      </c>
      <c r="L5" s="148">
        <f>H5-K5</f>
        <v>2.6720885899999995</v>
      </c>
    </row>
    <row r="6" spans="1:12" x14ac:dyDescent="0.4">
      <c r="A6" t="s">
        <v>200</v>
      </c>
      <c r="B6" s="21">
        <f>Contributions!B6</f>
        <v>121421.42689276834</v>
      </c>
      <c r="C6" s="145">
        <f>Contributions!C6/1000000</f>
        <v>0.41365200000000002</v>
      </c>
      <c r="D6" s="146">
        <f>SUMIF('Project Status'!G:G,'Shared Building Allocation'!A6,'Project Status'!Q:Q)/1000000</f>
        <v>0.57428999999999997</v>
      </c>
      <c r="E6" s="147"/>
      <c r="F6" s="146">
        <f t="shared" ref="F6:F13" si="1">D6+E6</f>
        <v>0.57428999999999997</v>
      </c>
      <c r="G6" s="148">
        <f t="shared" ref="G6:G13" si="2">C6-F6</f>
        <v>-0.16063799999999995</v>
      </c>
      <c r="H6" s="155">
        <f>Contributions!G6/1000000</f>
        <v>0.48204136999999997</v>
      </c>
      <c r="I6" s="156">
        <f>SUMIF('Project Status'!G:G,'Shared Building Allocation'!A6,'Project Status'!T:T)/1000000</f>
        <v>1.4765999999999999</v>
      </c>
      <c r="J6" s="147"/>
      <c r="K6" s="156">
        <f t="shared" si="0"/>
        <v>1.4765999999999999</v>
      </c>
      <c r="L6" s="148">
        <f t="shared" ref="L6:L13" si="3">H6-K6</f>
        <v>-0.99455863</v>
      </c>
    </row>
    <row r="7" spans="1:12" x14ac:dyDescent="0.4">
      <c r="A7" t="s">
        <v>201</v>
      </c>
      <c r="B7" s="21">
        <f>Contributions!B7</f>
        <v>57814.730923479161</v>
      </c>
      <c r="C7" s="145">
        <f>Contributions!C7/1000000</f>
        <v>0.19696</v>
      </c>
      <c r="D7" s="146">
        <f>SUMIF('Project Status'!G:G,'Shared Building Allocation'!A7,'Project Status'!Q:Q)/1000000</f>
        <v>9.6362500000000004E-2</v>
      </c>
      <c r="E7" s="147"/>
      <c r="F7" s="146">
        <f t="shared" si="1"/>
        <v>9.6362500000000004E-2</v>
      </c>
      <c r="G7" s="148">
        <f t="shared" si="2"/>
        <v>0.10059749999999999</v>
      </c>
      <c r="H7" s="155">
        <f>Contributions!G7/1000000</f>
        <v>0.23130411000000001</v>
      </c>
      <c r="I7" s="156">
        <f>SUMIF('Project Status'!G:G,'Shared Building Allocation'!A7,'Project Status'!T:T)/1000000</f>
        <v>3.7301375000000001</v>
      </c>
      <c r="J7" s="147"/>
      <c r="K7" s="156">
        <f t="shared" si="0"/>
        <v>3.7301375000000001</v>
      </c>
      <c r="L7" s="148">
        <f t="shared" si="3"/>
        <v>-3.4988333900000002</v>
      </c>
    </row>
    <row r="8" spans="1:12" x14ac:dyDescent="0.4">
      <c r="A8" t="s">
        <v>202</v>
      </c>
      <c r="B8" s="21">
        <f>Contributions!B8</f>
        <v>537962.332719445</v>
      </c>
      <c r="C8" s="145">
        <f>Contributions!C8/1000000</f>
        <v>1.8327009999999999</v>
      </c>
      <c r="D8" s="146">
        <f>SUMIF('Project Status'!G:G,'Shared Building Allocation'!A8,'Project Status'!Q:Q)/1000000</f>
        <v>0.35299999999999998</v>
      </c>
      <c r="E8" s="147"/>
      <c r="F8" s="146">
        <f t="shared" si="1"/>
        <v>0.35299999999999998</v>
      </c>
      <c r="G8" s="148">
        <f t="shared" si="2"/>
        <v>1.4797009999999999</v>
      </c>
      <c r="H8" s="155">
        <f>Contributions!G8/1000000</f>
        <v>2.1933376600000001</v>
      </c>
      <c r="I8" s="156">
        <f>SUMIF('Project Status'!G:G,'Shared Building Allocation'!A8,'Project Status'!T:T)/1000000</f>
        <v>7.0000000000000007E-2</v>
      </c>
      <c r="J8" s="147"/>
      <c r="K8" s="156">
        <f t="shared" si="0"/>
        <v>7.0000000000000007E-2</v>
      </c>
      <c r="L8" s="148">
        <f t="shared" si="3"/>
        <v>2.1233376600000002</v>
      </c>
    </row>
    <row r="9" spans="1:12" x14ac:dyDescent="0.4">
      <c r="A9" t="s">
        <v>203</v>
      </c>
      <c r="B9" s="21">
        <f>Contributions!B9</f>
        <v>120155.48460329951</v>
      </c>
      <c r="C9" s="145">
        <f>Contributions!C9/1000000</f>
        <v>0.40933900000000001</v>
      </c>
      <c r="D9" s="146">
        <f>SUMIF('Project Status'!G:G,'Shared Building Allocation'!A9,'Project Status'!Q:Q)/1000000</f>
        <v>1.2061345000000001</v>
      </c>
      <c r="E9" s="147"/>
      <c r="F9" s="146">
        <f t="shared" si="1"/>
        <v>1.2061345000000001</v>
      </c>
      <c r="G9" s="148">
        <f t="shared" si="2"/>
        <v>-0.7967955000000001</v>
      </c>
      <c r="H9" s="155">
        <f>Contributions!G9/1000000</f>
        <v>0.47701535000000006</v>
      </c>
      <c r="I9" s="156">
        <f>SUMIF('Project Status'!G:G,'Shared Building Allocation'!A9,'Project Status'!T:T)/1000000</f>
        <v>0</v>
      </c>
      <c r="J9" s="147"/>
      <c r="K9" s="156">
        <f t="shared" si="0"/>
        <v>0</v>
      </c>
      <c r="L9" s="148">
        <f t="shared" si="3"/>
        <v>0.47701535000000006</v>
      </c>
    </row>
    <row r="10" spans="1:12" x14ac:dyDescent="0.4">
      <c r="A10" t="s">
        <v>205</v>
      </c>
      <c r="B10" s="21">
        <f>Contributions!B10</f>
        <v>280022.39987629937</v>
      </c>
      <c r="C10" s="145">
        <f>Contributions!C10/1000000</f>
        <v>0.95396499999999995</v>
      </c>
      <c r="D10" s="146">
        <f>SUMIF('Project Status'!G:G,'Shared Building Allocation'!A10,'Project Status'!Q:Q)/1000000</f>
        <v>1.5951875</v>
      </c>
      <c r="E10" s="147">
        <f>-D22/1000000</f>
        <v>-0.55831562499999998</v>
      </c>
      <c r="F10" s="146">
        <f t="shared" si="1"/>
        <v>1.0368718750000001</v>
      </c>
      <c r="G10" s="148">
        <f t="shared" si="2"/>
        <v>-8.2906875000000158E-2</v>
      </c>
      <c r="H10" s="155">
        <f>Contributions!G10/1000000</f>
        <v>1.0547257800000001</v>
      </c>
      <c r="I10" s="156">
        <f>SUMIF('Project Status'!G:G,'Shared Building Allocation'!A10,'Project Status'!T:T)/1000000</f>
        <v>1.4395</v>
      </c>
      <c r="J10" s="147">
        <f>-I22/1000000</f>
        <v>-0.50382499999999997</v>
      </c>
      <c r="K10" s="156">
        <f t="shared" si="0"/>
        <v>0.93567500000000003</v>
      </c>
      <c r="L10" s="148">
        <f t="shared" si="3"/>
        <v>0.11905078000000002</v>
      </c>
    </row>
    <row r="11" spans="1:12" x14ac:dyDescent="0.4">
      <c r="A11" t="s">
        <v>204</v>
      </c>
      <c r="B11" s="21">
        <f>Contributions!B11</f>
        <v>106166.70000000001</v>
      </c>
      <c r="C11" s="145">
        <f>Contributions!C11/1000000</f>
        <v>0.36168299999999998</v>
      </c>
      <c r="D11" s="146">
        <f>SUMIF('Project Status'!G:G,'Shared Building Allocation'!A11,'Project Status'!Q:Q)/1000000</f>
        <v>4.8999999999999998E-3</v>
      </c>
      <c r="E11" s="147"/>
      <c r="F11" s="146">
        <f t="shared" si="1"/>
        <v>4.8999999999999998E-3</v>
      </c>
      <c r="G11" s="148">
        <f t="shared" si="2"/>
        <v>0.35678299999999996</v>
      </c>
      <c r="H11" s="155">
        <f>Contributions!G11/1000000</f>
        <v>0.41981162</v>
      </c>
      <c r="I11" s="156">
        <f>SUMIF('Project Status'!G:G,'Shared Building Allocation'!A11,'Project Status'!T:T)/1000000</f>
        <v>0</v>
      </c>
      <c r="J11" s="147"/>
      <c r="K11" s="156">
        <f t="shared" si="0"/>
        <v>0</v>
      </c>
      <c r="L11" s="148">
        <f t="shared" si="3"/>
        <v>0.41981162</v>
      </c>
    </row>
    <row r="12" spans="1:12" x14ac:dyDescent="0.4">
      <c r="A12" t="s">
        <v>199</v>
      </c>
      <c r="B12" s="21">
        <f>Contributions!B12</f>
        <v>59008.361666666671</v>
      </c>
      <c r="C12" s="145">
        <f>Contributions!C12/1000000</f>
        <v>0.20102700000000001</v>
      </c>
      <c r="D12" s="146">
        <f>SUMIF('Project Status'!G:G,'Shared Building Allocation'!A12,'Project Status'!Q:Q)/1000000</f>
        <v>0.3</v>
      </c>
      <c r="E12" s="147"/>
      <c r="F12" s="146">
        <f t="shared" si="1"/>
        <v>0.3</v>
      </c>
      <c r="G12" s="148">
        <f t="shared" si="2"/>
        <v>-9.8972999999999978E-2</v>
      </c>
      <c r="H12" s="155">
        <f>Contributions!G12/1000000</f>
        <v>0.39358580000000004</v>
      </c>
      <c r="I12" s="156">
        <f>SUMIF('Project Status'!G:G,'Shared Building Allocation'!A12,'Project Status'!T:T)/1000000</f>
        <v>0</v>
      </c>
      <c r="J12" s="147"/>
      <c r="K12" s="156">
        <f t="shared" si="0"/>
        <v>0</v>
      </c>
      <c r="L12" s="148">
        <f t="shared" si="3"/>
        <v>0.39358580000000004</v>
      </c>
    </row>
    <row r="13" spans="1:12" x14ac:dyDescent="0.4">
      <c r="A13" t="s">
        <v>206</v>
      </c>
      <c r="B13" s="21">
        <f>Contributions!B13</f>
        <v>390796.88477064227</v>
      </c>
      <c r="C13" s="145">
        <f>Contributions!C13/1000000</f>
        <v>1.3313459999999999</v>
      </c>
      <c r="D13" s="146">
        <f>SUMIF('Project Status'!G:G,'Shared Building Allocation'!A13,'Project Status'!Q:Q)/1000000</f>
        <v>2.9494377599999999</v>
      </c>
      <c r="E13" s="147"/>
      <c r="F13" s="146">
        <f t="shared" si="1"/>
        <v>2.9494377599999999</v>
      </c>
      <c r="G13" s="148">
        <f t="shared" si="2"/>
        <v>-1.61809176</v>
      </c>
      <c r="H13" s="155">
        <f>Contributions!G13/1000000</f>
        <v>1.57264801</v>
      </c>
      <c r="I13" s="156">
        <f>SUMIF('Project Status'!G:G,'Shared Building Allocation'!A13,'Project Status'!T:T)/1000000</f>
        <v>3.5000000000000003E-2</v>
      </c>
      <c r="J13" s="147"/>
      <c r="K13" s="156">
        <f t="shared" si="0"/>
        <v>3.5000000000000003E-2</v>
      </c>
      <c r="L13" s="148">
        <f t="shared" si="3"/>
        <v>1.5376480100000001</v>
      </c>
    </row>
    <row r="14" spans="1:12" ht="15" thickBot="1" x14ac:dyDescent="0.45">
      <c r="A14" s="25"/>
      <c r="B14" s="25">
        <v>2748810.0535201132</v>
      </c>
      <c r="C14" s="149">
        <f>SUM(C5:C13)</f>
        <v>9.3644990000000004</v>
      </c>
      <c r="D14" s="150">
        <f>SUM(D5:D13)</f>
        <v>8.7972862599999999</v>
      </c>
      <c r="E14" s="151"/>
      <c r="F14" s="150">
        <f>SUM(F5:F13)</f>
        <v>8.7972862599999999</v>
      </c>
      <c r="G14" s="152">
        <f>SUM(G5:G13)</f>
        <v>0.56721273999999955</v>
      </c>
      <c r="H14" s="157">
        <f>SUM(H5:H13)</f>
        <v>11.02928329</v>
      </c>
      <c r="I14" s="158">
        <f>SUM(I5:I13)</f>
        <v>7.7801374999999995</v>
      </c>
      <c r="J14" s="151"/>
      <c r="K14" s="158">
        <f>SUM(K5:K13)</f>
        <v>7.7801375000000004</v>
      </c>
      <c r="L14" s="152">
        <f>SUM(L5:L13)</f>
        <v>3.24914579</v>
      </c>
    </row>
    <row r="18" spans="1:9" x14ac:dyDescent="0.4">
      <c r="A18" s="20" t="s">
        <v>120</v>
      </c>
    </row>
    <row r="19" spans="1:9" s="20" customFormat="1" x14ac:dyDescent="0.4">
      <c r="D19" s="31" t="s">
        <v>330</v>
      </c>
      <c r="I19" s="31" t="s">
        <v>331</v>
      </c>
    </row>
    <row r="20" spans="1:9" s="20" customFormat="1" x14ac:dyDescent="0.4">
      <c r="C20" s="51" t="s">
        <v>149</v>
      </c>
      <c r="D20" s="32">
        <f>SUMIF('Project Status'!H:H,'Shared Building Allocation'!C20,'Project Status'!Q:Q)</f>
        <v>1595187.5</v>
      </c>
      <c r="I20" s="32">
        <f>SUMIF('Project Status'!H:H,'Shared Building Allocation'!C20,'Project Status'!T:T)</f>
        <v>1439500</v>
      </c>
    </row>
    <row r="21" spans="1:9" s="20" customFormat="1" ht="6.45" customHeight="1" x14ac:dyDescent="0.4">
      <c r="D21" s="32"/>
      <c r="I21" s="32"/>
    </row>
    <row r="22" spans="1:9" s="20" customFormat="1" x14ac:dyDescent="0.4">
      <c r="C22" s="34" t="s">
        <v>122</v>
      </c>
      <c r="D22" s="32">
        <f>D20*0.35</f>
        <v>558315.625</v>
      </c>
      <c r="I22" s="32">
        <f>I20*0.35</f>
        <v>503824.99999999994</v>
      </c>
    </row>
    <row r="23" spans="1:9" s="20" customFormat="1" x14ac:dyDescent="0.4">
      <c r="C23" s="34" t="s">
        <v>123</v>
      </c>
      <c r="D23" s="32">
        <f>D20*0.65</f>
        <v>1036871.875</v>
      </c>
      <c r="I23" s="32">
        <f>I20*0.65</f>
        <v>935675</v>
      </c>
    </row>
    <row r="24" spans="1:9" s="20" customFormat="1" x14ac:dyDescent="0.4">
      <c r="D24" s="33">
        <f>SUM(D22:D23)</f>
        <v>1595187.5</v>
      </c>
      <c r="I24" s="33">
        <f>SUM(I22:I23)</f>
        <v>1439500</v>
      </c>
    </row>
    <row r="25" spans="1:9" s="20" customFormat="1" x14ac:dyDescent="0.4"/>
  </sheetData>
  <pageMargins left="0.7" right="0.7" top="0.75" bottom="0.75" header="0.3" footer="0.3"/>
  <pageSetup orientation="landscape" horizontalDpi="4294967295" verticalDpi="4294967295"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127</v>
      </c>
      <c r="C1" t="s">
        <v>197</v>
      </c>
    </row>
    <row r="2" spans="2:3" x14ac:dyDescent="0.4">
      <c r="B2" t="s">
        <v>10</v>
      </c>
      <c r="C2" t="s">
        <v>198</v>
      </c>
    </row>
    <row r="3" spans="2:3" x14ac:dyDescent="0.4">
      <c r="B3" t="s">
        <v>12</v>
      </c>
      <c r="C3" t="s">
        <v>200</v>
      </c>
    </row>
    <row r="4" spans="2:3" x14ac:dyDescent="0.4">
      <c r="B4" t="s">
        <v>14</v>
      </c>
      <c r="C4" t="s">
        <v>201</v>
      </c>
    </row>
    <row r="5" spans="2:3" x14ac:dyDescent="0.4">
      <c r="B5" t="s">
        <v>15</v>
      </c>
      <c r="C5" t="s">
        <v>202</v>
      </c>
    </row>
    <row r="6" spans="2:3" x14ac:dyDescent="0.4">
      <c r="B6" t="s">
        <v>156</v>
      </c>
      <c r="C6" t="s">
        <v>203</v>
      </c>
    </row>
    <row r="7" spans="2:3" x14ac:dyDescent="0.4">
      <c r="B7" t="s">
        <v>21</v>
      </c>
      <c r="C7" t="s">
        <v>205</v>
      </c>
    </row>
    <row r="8" spans="2:3" x14ac:dyDescent="0.4">
      <c r="B8" t="s">
        <v>180</v>
      </c>
      <c r="C8" t="s">
        <v>204</v>
      </c>
    </row>
    <row r="9" spans="2:3" x14ac:dyDescent="0.4">
      <c r="B9" t="s">
        <v>26</v>
      </c>
      <c r="C9" t="s">
        <v>199</v>
      </c>
    </row>
    <row r="10" spans="2:3" x14ac:dyDescent="0.4">
      <c r="B10" t="s">
        <v>28</v>
      </c>
      <c r="C10" t="s">
        <v>206</v>
      </c>
    </row>
  </sheetData>
  <sortState xmlns:xlrd2="http://schemas.microsoft.com/office/spreadsheetml/2017/richdata2" ref="B2:B10">
    <sortCondition ref="B2:B10"/>
  </sortState>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L24"/>
  <sheetViews>
    <sheetView zoomScaleNormal="100" workbookViewId="0">
      <selection activeCell="G14" sqref="G14"/>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s>
  <sheetData>
    <row r="1" spans="1:12" s="8" customFormat="1" x14ac:dyDescent="0.4">
      <c r="A1" s="10" t="s">
        <v>212</v>
      </c>
      <c r="E1" s="10" t="s">
        <v>211</v>
      </c>
    </row>
    <row r="2" spans="1:12" s="8" customFormat="1" x14ac:dyDescent="0.4">
      <c r="A2" s="20"/>
      <c r="B2" s="36"/>
      <c r="E2" s="20"/>
      <c r="F2" s="36"/>
    </row>
    <row r="3" spans="1:12" ht="14.7" customHeight="1" x14ac:dyDescent="0.4">
      <c r="A3" s="8"/>
      <c r="C3" s="12">
        <v>3.41</v>
      </c>
      <c r="E3" s="8"/>
      <c r="G3" s="12">
        <v>3.97</v>
      </c>
      <c r="L3" s="97"/>
    </row>
    <row r="4" spans="1:12" x14ac:dyDescent="0.4">
      <c r="A4" s="13" t="s">
        <v>86</v>
      </c>
      <c r="B4" s="14" t="s">
        <v>99</v>
      </c>
      <c r="C4" s="14" t="s">
        <v>88</v>
      </c>
      <c r="E4" s="13" t="s">
        <v>86</v>
      </c>
      <c r="F4" s="14" t="s">
        <v>99</v>
      </c>
      <c r="G4" s="14" t="s">
        <v>88</v>
      </c>
    </row>
    <row r="5" spans="1:12" x14ac:dyDescent="0.4">
      <c r="A5" t="s">
        <v>198</v>
      </c>
      <c r="B5" s="15">
        <v>1075461.7320675128</v>
      </c>
      <c r="C5" s="16">
        <v>3663826</v>
      </c>
      <c r="E5" t="s">
        <v>198</v>
      </c>
      <c r="F5" s="15">
        <v>1059147</v>
      </c>
      <c r="G5" s="16">
        <f>F5*$G$3</f>
        <v>4204813.59</v>
      </c>
    </row>
    <row r="6" spans="1:12" x14ac:dyDescent="0.4">
      <c r="A6" t="s">
        <v>200</v>
      </c>
      <c r="B6" s="15">
        <v>121421.42689276834</v>
      </c>
      <c r="C6" s="16">
        <v>413652</v>
      </c>
      <c r="E6" t="s">
        <v>200</v>
      </c>
      <c r="F6" s="15">
        <v>121421</v>
      </c>
      <c r="G6" s="16">
        <f t="shared" ref="G6:G13" si="0">F6*$G$3</f>
        <v>482041.37</v>
      </c>
    </row>
    <row r="7" spans="1:12" x14ac:dyDescent="0.4">
      <c r="A7" t="s">
        <v>201</v>
      </c>
      <c r="B7" s="15">
        <v>57814.730923479161</v>
      </c>
      <c r="C7" s="16">
        <v>196960</v>
      </c>
      <c r="E7" t="s">
        <v>201</v>
      </c>
      <c r="F7" s="15">
        <v>58263</v>
      </c>
      <c r="G7" s="16">
        <f t="shared" si="0"/>
        <v>231304.11000000002</v>
      </c>
    </row>
    <row r="8" spans="1:12" x14ac:dyDescent="0.4">
      <c r="A8" t="s">
        <v>202</v>
      </c>
      <c r="B8" s="15">
        <v>537962.332719445</v>
      </c>
      <c r="C8" s="16">
        <v>1832701</v>
      </c>
      <c r="E8" t="s">
        <v>202</v>
      </c>
      <c r="F8" s="15">
        <v>552478</v>
      </c>
      <c r="G8" s="16">
        <f t="shared" si="0"/>
        <v>2193337.66</v>
      </c>
    </row>
    <row r="9" spans="1:12" x14ac:dyDescent="0.4">
      <c r="A9" t="s">
        <v>203</v>
      </c>
      <c r="B9" s="15">
        <v>120155.48460329951</v>
      </c>
      <c r="C9" s="16">
        <v>409339</v>
      </c>
      <c r="E9" t="s">
        <v>203</v>
      </c>
      <c r="F9" s="15">
        <v>120155</v>
      </c>
      <c r="G9" s="16">
        <f t="shared" si="0"/>
        <v>477015.35000000003</v>
      </c>
    </row>
    <row r="10" spans="1:12" x14ac:dyDescent="0.4">
      <c r="A10" t="s">
        <v>205</v>
      </c>
      <c r="B10" s="15">
        <v>280022.39987629937</v>
      </c>
      <c r="C10" s="16">
        <v>953965</v>
      </c>
      <c r="E10" t="s">
        <v>205</v>
      </c>
      <c r="F10" s="15">
        <v>265674</v>
      </c>
      <c r="G10" s="16">
        <f t="shared" si="0"/>
        <v>1054725.78</v>
      </c>
    </row>
    <row r="11" spans="1:12" x14ac:dyDescent="0.4">
      <c r="A11" t="s">
        <v>204</v>
      </c>
      <c r="B11" s="15">
        <v>106166.70000000001</v>
      </c>
      <c r="C11" s="16">
        <v>361683</v>
      </c>
      <c r="E11" t="s">
        <v>204</v>
      </c>
      <c r="F11" s="15">
        <v>105746</v>
      </c>
      <c r="G11" s="16">
        <f t="shared" si="0"/>
        <v>419811.62</v>
      </c>
    </row>
    <row r="12" spans="1:12" x14ac:dyDescent="0.4">
      <c r="A12" t="s">
        <v>199</v>
      </c>
      <c r="B12" s="15">
        <v>59008.361666666671</v>
      </c>
      <c r="C12" s="16">
        <v>201027</v>
      </c>
      <c r="E12" t="s">
        <v>199</v>
      </c>
      <c r="F12" s="15">
        <v>99140</v>
      </c>
      <c r="G12" s="16">
        <f t="shared" si="0"/>
        <v>393585.80000000005</v>
      </c>
    </row>
    <row r="13" spans="1:12" x14ac:dyDescent="0.4">
      <c r="A13" t="s">
        <v>206</v>
      </c>
      <c r="B13" s="15">
        <v>390796.88477064227</v>
      </c>
      <c r="C13" s="16">
        <v>1331346</v>
      </c>
      <c r="E13" t="s">
        <v>206</v>
      </c>
      <c r="F13" s="15">
        <v>396133</v>
      </c>
      <c r="G13" s="16">
        <f t="shared" si="0"/>
        <v>1572648.01</v>
      </c>
    </row>
    <row r="14" spans="1:12" ht="15" thickBot="1" x14ac:dyDescent="0.45">
      <c r="A14" s="8"/>
      <c r="B14" s="17">
        <f>SUM(B5:B13)</f>
        <v>2748810.0535201132</v>
      </c>
      <c r="C14" s="18">
        <f>SUM(C5:C13)</f>
        <v>9364499</v>
      </c>
      <c r="E14" s="8"/>
      <c r="F14" s="17">
        <f>SUM(F5:F13)</f>
        <v>2778157</v>
      </c>
      <c r="G14" s="18">
        <f>SUM(G5:G13)</f>
        <v>11029283.289999999</v>
      </c>
    </row>
    <row r="17" spans="1:7" x14ac:dyDescent="0.4">
      <c r="A17" t="s">
        <v>88</v>
      </c>
      <c r="C17" s="37">
        <f>C14</f>
        <v>9364499</v>
      </c>
      <c r="E17" t="s">
        <v>88</v>
      </c>
      <c r="G17" s="37">
        <f>G14</f>
        <v>11029283.289999999</v>
      </c>
    </row>
    <row r="18" spans="1:7" x14ac:dyDescent="0.4">
      <c r="A18" t="s">
        <v>213</v>
      </c>
      <c r="C18" s="37">
        <f>'Project Status'!T38</f>
        <v>7780137.5</v>
      </c>
      <c r="E18" t="s">
        <v>213</v>
      </c>
      <c r="G18" s="37">
        <f>'Project Status'!S38</f>
        <v>6751237.5</v>
      </c>
    </row>
    <row r="19" spans="1:7" ht="15" thickBot="1" x14ac:dyDescent="0.45">
      <c r="A19" t="s">
        <v>125</v>
      </c>
      <c r="C19" s="77">
        <f>C17-C18</f>
        <v>1584361.5</v>
      </c>
      <c r="E19" t="s">
        <v>125</v>
      </c>
      <c r="G19" s="77">
        <f>G17-G18</f>
        <v>4278045.7899999991</v>
      </c>
    </row>
    <row r="24" spans="1:7" x14ac:dyDescent="0.4">
      <c r="A24" s="19"/>
      <c r="E24" s="1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sheetPr>
  <dimension ref="A1:V54"/>
  <sheetViews>
    <sheetView zoomScaleNormal="100" workbookViewId="0">
      <pane ySplit="3" topLeftCell="A34" activePane="bottomLeft" state="frozen"/>
      <selection pane="bottomLeft" activeCell="A51" sqref="A51"/>
    </sheetView>
  </sheetViews>
  <sheetFormatPr defaultColWidth="9.15234375" defaultRowHeight="14.6" outlineLevelCol="1" x14ac:dyDescent="0.4"/>
  <cols>
    <col min="1" max="1" width="3.53515625" style="87" bestFit="1" customWidth="1"/>
    <col min="2" max="2" width="11.69140625" style="87" hidden="1" customWidth="1" outlineLevel="1"/>
    <col min="3" max="3" width="8.53515625" style="87" customWidth="1" collapsed="1"/>
    <col min="4" max="4" width="6.3046875" style="87" hidden="1" customWidth="1" outlineLevel="1"/>
    <col min="5" max="5" width="10.3046875" style="87" hidden="1" customWidth="1" outlineLevel="1"/>
    <col min="6" max="6" width="37.53515625" style="87" hidden="1" customWidth="1" outlineLevel="1"/>
    <col min="7" max="7" width="17.3828125" style="87" hidden="1" customWidth="1" outlineLevel="1"/>
    <col min="8" max="8" width="28" style="87" hidden="1" customWidth="1" outlineLevel="1"/>
    <col min="9" max="9" width="59.15234375" style="87" bestFit="1" customWidth="1" collapsed="1"/>
    <col min="10" max="10" width="21.3828125" style="87" bestFit="1" customWidth="1"/>
    <col min="11" max="11" width="13" style="87" bestFit="1" customWidth="1"/>
    <col min="12" max="12" width="15" style="113" customWidth="1"/>
    <col min="13" max="16" width="15" style="113" hidden="1" customWidth="1" outlineLevel="1"/>
    <col min="17" max="17" width="15" style="113" customWidth="1" collapsed="1"/>
    <col min="18" max="21" width="15" style="113" customWidth="1"/>
    <col min="22" max="22" width="116.53515625" style="87" customWidth="1"/>
    <col min="23" max="16384" width="9.15234375" style="87"/>
  </cols>
  <sheetData>
    <row r="1" spans="1:22" x14ac:dyDescent="0.4">
      <c r="A1" s="85" t="s">
        <v>196</v>
      </c>
      <c r="Q1" s="170" t="s">
        <v>287</v>
      </c>
      <c r="T1" s="210" t="s">
        <v>335</v>
      </c>
    </row>
    <row r="2" spans="1:22" x14ac:dyDescent="0.4">
      <c r="A2" s="88"/>
      <c r="E2" s="89"/>
      <c r="F2" s="90"/>
      <c r="G2" s="90"/>
    </row>
    <row r="3" spans="1:22" s="86" customFormat="1" ht="29.15" x14ac:dyDescent="0.4">
      <c r="A3" s="9"/>
      <c r="B3" s="9" t="s">
        <v>233</v>
      </c>
      <c r="C3" s="9" t="s">
        <v>127</v>
      </c>
      <c r="D3" s="9" t="s">
        <v>128</v>
      </c>
      <c r="E3" s="9" t="s">
        <v>129</v>
      </c>
      <c r="F3" s="91" t="s">
        <v>86</v>
      </c>
      <c r="G3" s="91" t="s">
        <v>207</v>
      </c>
      <c r="H3" s="91" t="s">
        <v>114</v>
      </c>
      <c r="I3" s="91" t="s">
        <v>87</v>
      </c>
      <c r="J3" s="9" t="s">
        <v>130</v>
      </c>
      <c r="K3" s="9" t="s">
        <v>131</v>
      </c>
      <c r="L3" s="114" t="s">
        <v>135</v>
      </c>
      <c r="M3" s="115" t="s">
        <v>132</v>
      </c>
      <c r="N3" s="115" t="s">
        <v>133</v>
      </c>
      <c r="O3" s="115" t="s">
        <v>134</v>
      </c>
      <c r="P3" s="115" t="s">
        <v>227</v>
      </c>
      <c r="Q3" s="116" t="s">
        <v>248</v>
      </c>
      <c r="R3" s="124" t="s">
        <v>325</v>
      </c>
      <c r="S3" s="124" t="s">
        <v>250</v>
      </c>
      <c r="T3" s="202" t="s">
        <v>324</v>
      </c>
      <c r="U3" s="171" t="s">
        <v>288</v>
      </c>
      <c r="V3" s="9" t="s">
        <v>186</v>
      </c>
    </row>
    <row r="4" spans="1:22" s="101" customFormat="1" x14ac:dyDescent="0.4">
      <c r="A4" s="104">
        <v>1</v>
      </c>
      <c r="B4" s="102" t="s">
        <v>90</v>
      </c>
      <c r="C4" s="212">
        <v>10085</v>
      </c>
      <c r="D4" s="102">
        <v>4591</v>
      </c>
      <c r="E4" s="102"/>
      <c r="F4" s="102" t="s">
        <v>28</v>
      </c>
      <c r="G4" s="103" t="str">
        <f>VLOOKUP(F4,lookup!B:C,2,FALSE)</f>
        <v>Peabody</v>
      </c>
      <c r="H4" s="102" t="s">
        <v>116</v>
      </c>
      <c r="I4" s="102" t="s">
        <v>108</v>
      </c>
      <c r="J4" s="102" t="s">
        <v>341</v>
      </c>
      <c r="K4" s="102" t="s">
        <v>158</v>
      </c>
      <c r="L4" s="117">
        <v>17500</v>
      </c>
      <c r="M4" s="118">
        <v>22000</v>
      </c>
      <c r="N4" s="118">
        <v>17500</v>
      </c>
      <c r="O4" s="118">
        <v>17500</v>
      </c>
      <c r="P4" s="118">
        <v>17500</v>
      </c>
      <c r="Q4" s="119">
        <f>'10085'!H18+'10085'!I18</f>
        <v>17500</v>
      </c>
      <c r="R4" s="125">
        <v>0</v>
      </c>
      <c r="S4" s="125">
        <v>0</v>
      </c>
      <c r="T4" s="203">
        <f>SUM(R4:S4)</f>
        <v>0</v>
      </c>
      <c r="U4" s="172">
        <v>0</v>
      </c>
      <c r="V4" s="102" t="s">
        <v>279</v>
      </c>
    </row>
    <row r="5" spans="1:22" s="101" customFormat="1" x14ac:dyDescent="0.4">
      <c r="A5" s="104">
        <v>2</v>
      </c>
      <c r="B5" s="102" t="s">
        <v>89</v>
      </c>
      <c r="C5" s="212">
        <v>10098</v>
      </c>
      <c r="D5" s="102">
        <v>1627</v>
      </c>
      <c r="E5" s="102" t="s">
        <v>110</v>
      </c>
      <c r="F5" s="102" t="s">
        <v>21</v>
      </c>
      <c r="G5" s="103" t="str">
        <f>VLOOKUP(F5,lookup!B:C,2,FALSE)</f>
        <v>SOM Basic Sciences</v>
      </c>
      <c r="H5" s="102" t="s">
        <v>149</v>
      </c>
      <c r="I5" s="102" t="s">
        <v>312</v>
      </c>
      <c r="J5" s="102" t="s">
        <v>313</v>
      </c>
      <c r="K5" s="102" t="s">
        <v>153</v>
      </c>
      <c r="L5" s="117">
        <v>1216485.5</v>
      </c>
      <c r="M5" s="118">
        <v>1216485.5</v>
      </c>
      <c r="N5" s="118">
        <v>1212059.54</v>
      </c>
      <c r="O5" s="118">
        <v>1212059.54</v>
      </c>
      <c r="P5" s="118">
        <v>1212059.54</v>
      </c>
      <c r="Q5" s="119">
        <f>'10098'!H18</f>
        <v>1216485.5</v>
      </c>
      <c r="R5" s="125">
        <v>0</v>
      </c>
      <c r="S5" s="125">
        <v>0</v>
      </c>
      <c r="T5" s="203">
        <f t="shared" ref="T5:T35" si="0">SUM(R5:S5)</f>
        <v>0</v>
      </c>
      <c r="U5" s="172">
        <v>0</v>
      </c>
      <c r="V5" s="102" t="s">
        <v>343</v>
      </c>
    </row>
    <row r="6" spans="1:22" s="101" customFormat="1" x14ac:dyDescent="0.4">
      <c r="A6" s="104">
        <v>3</v>
      </c>
      <c r="B6" s="102" t="s">
        <v>89</v>
      </c>
      <c r="C6" s="212">
        <v>10146</v>
      </c>
      <c r="D6" s="102">
        <v>4418</v>
      </c>
      <c r="E6" s="102" t="s">
        <v>179</v>
      </c>
      <c r="F6" s="102" t="s">
        <v>180</v>
      </c>
      <c r="G6" s="103" t="str">
        <f>VLOOKUP(F6,lookup!B:C,2,FALSE)</f>
        <v>Nursing</v>
      </c>
      <c r="H6" s="102" t="s">
        <v>174</v>
      </c>
      <c r="I6" s="102" t="s">
        <v>290</v>
      </c>
      <c r="J6" s="102" t="s">
        <v>100</v>
      </c>
      <c r="K6" s="102" t="s">
        <v>158</v>
      </c>
      <c r="L6" s="117"/>
      <c r="M6" s="118">
        <v>62100</v>
      </c>
      <c r="N6" s="118">
        <v>62100</v>
      </c>
      <c r="O6" s="118">
        <v>62100</v>
      </c>
      <c r="P6" s="118">
        <v>62100</v>
      </c>
      <c r="Q6" s="119">
        <f>'10146'!H18</f>
        <v>4900</v>
      </c>
      <c r="R6" s="125">
        <v>0</v>
      </c>
      <c r="S6" s="125" t="s">
        <v>220</v>
      </c>
      <c r="T6" s="203">
        <f t="shared" si="0"/>
        <v>0</v>
      </c>
      <c r="U6" s="172" t="s">
        <v>220</v>
      </c>
      <c r="V6" s="102" t="s">
        <v>344</v>
      </c>
    </row>
    <row r="7" spans="1:22" s="101" customFormat="1" x14ac:dyDescent="0.4">
      <c r="A7" s="104">
        <v>4</v>
      </c>
      <c r="B7" s="102" t="s">
        <v>89</v>
      </c>
      <c r="C7" s="212">
        <v>20179</v>
      </c>
      <c r="D7" s="102">
        <v>36015</v>
      </c>
      <c r="E7" s="102" t="s">
        <v>104</v>
      </c>
      <c r="F7" s="102" t="s">
        <v>156</v>
      </c>
      <c r="G7" s="103" t="str">
        <f>VLOOKUP(F7,lookup!B:C,2,FALSE)</f>
        <v>Law</v>
      </c>
      <c r="H7" s="102" t="s">
        <v>115</v>
      </c>
      <c r="I7" s="102" t="s">
        <v>291</v>
      </c>
      <c r="J7" s="102" t="s">
        <v>313</v>
      </c>
      <c r="K7" s="102" t="s">
        <v>157</v>
      </c>
      <c r="L7" s="117">
        <v>1445389</v>
      </c>
      <c r="M7" s="118">
        <v>1445389</v>
      </c>
      <c r="N7" s="118">
        <v>1352423.14</v>
      </c>
      <c r="O7" s="118">
        <v>1352423.14</v>
      </c>
      <c r="P7" s="118">
        <v>1352423.14</v>
      </c>
      <c r="Q7" s="119">
        <f>'20179'!H18</f>
        <v>722694.5</v>
      </c>
      <c r="R7" s="125">
        <v>0</v>
      </c>
      <c r="S7" s="125">
        <v>0</v>
      </c>
      <c r="T7" s="203">
        <f t="shared" si="0"/>
        <v>0</v>
      </c>
      <c r="U7" s="172">
        <v>0</v>
      </c>
      <c r="V7" s="102" t="s">
        <v>345</v>
      </c>
    </row>
    <row r="8" spans="1:22" s="101" customFormat="1" x14ac:dyDescent="0.4">
      <c r="A8" s="104">
        <v>5</v>
      </c>
      <c r="B8" s="102" t="s">
        <v>89</v>
      </c>
      <c r="C8" s="212">
        <v>20336</v>
      </c>
      <c r="D8" s="102">
        <v>20075</v>
      </c>
      <c r="E8" s="102" t="s">
        <v>102</v>
      </c>
      <c r="F8" s="102" t="s">
        <v>12</v>
      </c>
      <c r="G8" s="103" t="str">
        <f>VLOOKUP(F8,lookup!B:C,2,FALSE)</f>
        <v>Blair</v>
      </c>
      <c r="H8" s="102" t="s">
        <v>152</v>
      </c>
      <c r="I8" s="102" t="s">
        <v>191</v>
      </c>
      <c r="J8" s="102" t="s">
        <v>101</v>
      </c>
      <c r="K8" s="102" t="s">
        <v>151</v>
      </c>
      <c r="L8" s="117">
        <v>327890</v>
      </c>
      <c r="M8" s="118">
        <v>327890</v>
      </c>
      <c r="N8" s="118">
        <v>280600</v>
      </c>
      <c r="O8" s="118">
        <v>280600</v>
      </c>
      <c r="P8" s="118">
        <v>168775</v>
      </c>
      <c r="Q8" s="119">
        <f>'20336'!H18</f>
        <v>327890</v>
      </c>
      <c r="R8" s="125">
        <v>0</v>
      </c>
      <c r="S8" s="125">
        <v>0</v>
      </c>
      <c r="T8" s="203">
        <f t="shared" si="0"/>
        <v>0</v>
      </c>
      <c r="U8" s="172">
        <v>0</v>
      </c>
      <c r="V8" s="102" t="s">
        <v>346</v>
      </c>
    </row>
    <row r="9" spans="1:22" s="101" customFormat="1" x14ac:dyDescent="0.4">
      <c r="A9" s="104">
        <v>6</v>
      </c>
      <c r="B9" s="102" t="s">
        <v>89</v>
      </c>
      <c r="C9" s="212">
        <v>20431</v>
      </c>
      <c r="D9" s="102">
        <v>8084</v>
      </c>
      <c r="E9" s="102" t="s">
        <v>103</v>
      </c>
      <c r="F9" s="102" t="s">
        <v>14</v>
      </c>
      <c r="G9" s="103" t="str">
        <f>VLOOKUP(F9,lookup!B:C,2,FALSE)</f>
        <v>Divinity</v>
      </c>
      <c r="H9" s="102" t="s">
        <v>154</v>
      </c>
      <c r="I9" s="102" t="s">
        <v>292</v>
      </c>
      <c r="J9" s="102" t="s">
        <v>101</v>
      </c>
      <c r="K9" s="102" t="s">
        <v>153</v>
      </c>
      <c r="L9" s="117">
        <v>3800000</v>
      </c>
      <c r="M9" s="118">
        <v>139640</v>
      </c>
      <c r="N9" s="118">
        <v>126225</v>
      </c>
      <c r="O9" s="118">
        <v>126225</v>
      </c>
      <c r="P9" s="118">
        <v>100186.22</v>
      </c>
      <c r="Q9" s="119">
        <f>'20431'!H18</f>
        <v>69862.5</v>
      </c>
      <c r="R9" s="125">
        <v>0</v>
      </c>
      <c r="S9" s="125">
        <f>L9-Q9</f>
        <v>3730137.5</v>
      </c>
      <c r="T9" s="203">
        <f t="shared" si="0"/>
        <v>3730137.5</v>
      </c>
      <c r="U9" s="172">
        <v>0</v>
      </c>
      <c r="V9" s="102" t="s">
        <v>347</v>
      </c>
    </row>
    <row r="10" spans="1:22" s="101" customFormat="1" x14ac:dyDescent="0.4">
      <c r="A10" s="104">
        <v>7</v>
      </c>
      <c r="B10" s="102" t="s">
        <v>89</v>
      </c>
      <c r="C10" s="212">
        <v>20478</v>
      </c>
      <c r="D10" s="102">
        <v>8672</v>
      </c>
      <c r="E10" s="102" t="s">
        <v>239</v>
      </c>
      <c r="F10" s="102" t="s">
        <v>10</v>
      </c>
      <c r="G10" s="103" t="str">
        <f>VLOOKUP(F10,lookup!B:C,2,FALSE)</f>
        <v>Arts &amp; Science</v>
      </c>
      <c r="H10" s="102" t="s">
        <v>249</v>
      </c>
      <c r="I10" s="102" t="s">
        <v>240</v>
      </c>
      <c r="J10" s="102" t="s">
        <v>101</v>
      </c>
      <c r="K10" s="102" t="s">
        <v>241</v>
      </c>
      <c r="L10" s="117">
        <v>2900000</v>
      </c>
      <c r="M10" s="118">
        <v>2790000</v>
      </c>
      <c r="N10" s="118">
        <v>1856897.5</v>
      </c>
      <c r="O10" s="118">
        <v>1868830.92</v>
      </c>
      <c r="P10" s="118">
        <v>416357.5</v>
      </c>
      <c r="Q10" s="119">
        <f>'20478'!H9+'20478'!H11</f>
        <v>81100</v>
      </c>
      <c r="R10" s="125">
        <f>'20478'!H13</f>
        <v>1028900</v>
      </c>
      <c r="S10" s="125">
        <v>0</v>
      </c>
      <c r="T10" s="203">
        <f t="shared" si="0"/>
        <v>1028900</v>
      </c>
      <c r="U10" s="172">
        <v>0</v>
      </c>
      <c r="V10" s="102" t="s">
        <v>348</v>
      </c>
    </row>
    <row r="11" spans="1:22" s="101" customFormat="1" x14ac:dyDescent="0.4">
      <c r="A11" s="104">
        <v>8</v>
      </c>
      <c r="B11" s="102" t="s">
        <v>89</v>
      </c>
      <c r="C11" s="212">
        <v>20489</v>
      </c>
      <c r="D11" s="102">
        <v>8051</v>
      </c>
      <c r="E11" s="102" t="s">
        <v>242</v>
      </c>
      <c r="F11" s="102" t="s">
        <v>14</v>
      </c>
      <c r="G11" s="103" t="str">
        <f>VLOOKUP(F11,lookup!B:C,2,FALSE)</f>
        <v>Divinity</v>
      </c>
      <c r="H11" s="102" t="s">
        <v>154</v>
      </c>
      <c r="I11" s="102" t="s">
        <v>293</v>
      </c>
      <c r="J11" s="102" t="s">
        <v>100</v>
      </c>
      <c r="K11" s="102" t="s">
        <v>153</v>
      </c>
      <c r="L11" s="117">
        <v>3726000</v>
      </c>
      <c r="M11" s="118">
        <v>26500</v>
      </c>
      <c r="N11" s="118">
        <v>15895</v>
      </c>
      <c r="O11" s="118">
        <v>15895</v>
      </c>
      <c r="P11" s="118">
        <v>12712.5</v>
      </c>
      <c r="Q11" s="119">
        <f>'20489'!H18</f>
        <v>26500</v>
      </c>
      <c r="R11" s="125">
        <v>0</v>
      </c>
      <c r="S11" s="125">
        <v>0</v>
      </c>
      <c r="T11" s="203">
        <f t="shared" si="0"/>
        <v>0</v>
      </c>
      <c r="U11" s="172" t="s">
        <v>220</v>
      </c>
      <c r="V11" s="102" t="s">
        <v>349</v>
      </c>
    </row>
    <row r="12" spans="1:22" s="101" customFormat="1" x14ac:dyDescent="0.4">
      <c r="A12" s="104">
        <v>9</v>
      </c>
      <c r="B12" s="102" t="s">
        <v>89</v>
      </c>
      <c r="C12" s="212">
        <v>20497</v>
      </c>
      <c r="D12" s="102">
        <v>529</v>
      </c>
      <c r="E12" s="102" t="s">
        <v>106</v>
      </c>
      <c r="F12" s="102" t="s">
        <v>28</v>
      </c>
      <c r="G12" s="103" t="str">
        <f>VLOOKUP(F12,lookup!B:C,2,FALSE)</f>
        <v>Peabody</v>
      </c>
      <c r="H12" s="102" t="s">
        <v>155</v>
      </c>
      <c r="I12" s="102" t="s">
        <v>105</v>
      </c>
      <c r="J12" s="102" t="s">
        <v>101</v>
      </c>
      <c r="K12" s="102" t="s">
        <v>151</v>
      </c>
      <c r="L12" s="117">
        <v>456850</v>
      </c>
      <c r="M12" s="118">
        <v>456850</v>
      </c>
      <c r="N12" s="118">
        <v>412000</v>
      </c>
      <c r="O12" s="118">
        <v>412000</v>
      </c>
      <c r="P12" s="118">
        <v>407000</v>
      </c>
      <c r="Q12" s="119">
        <f>'20497'!H18</f>
        <v>79415.5</v>
      </c>
      <c r="R12" s="125">
        <v>0</v>
      </c>
      <c r="S12" s="125">
        <v>0</v>
      </c>
      <c r="T12" s="203">
        <f t="shared" si="0"/>
        <v>0</v>
      </c>
      <c r="U12" s="172">
        <v>0</v>
      </c>
      <c r="V12" s="102" t="s">
        <v>350</v>
      </c>
    </row>
    <row r="13" spans="1:22" s="101" customFormat="1" x14ac:dyDescent="0.4">
      <c r="A13" s="104">
        <v>10</v>
      </c>
      <c r="B13" s="102" t="s">
        <v>89</v>
      </c>
      <c r="C13" s="212">
        <v>20506</v>
      </c>
      <c r="D13" s="102">
        <v>1170</v>
      </c>
      <c r="E13" s="102" t="s">
        <v>267</v>
      </c>
      <c r="F13" s="102" t="s">
        <v>28</v>
      </c>
      <c r="G13" s="103" t="str">
        <f>VLOOKUP(F13,lookup!B:C,2,FALSE)</f>
        <v>Peabody</v>
      </c>
      <c r="H13" s="102" t="s">
        <v>162</v>
      </c>
      <c r="I13" s="102" t="s">
        <v>246</v>
      </c>
      <c r="J13" s="102" t="s">
        <v>313</v>
      </c>
      <c r="K13" s="102" t="s">
        <v>151</v>
      </c>
      <c r="L13" s="117">
        <v>344155.26</v>
      </c>
      <c r="M13" s="118">
        <v>344155.26</v>
      </c>
      <c r="N13" s="118">
        <v>307776.26</v>
      </c>
      <c r="O13" s="118">
        <v>307776.26</v>
      </c>
      <c r="P13" s="118">
        <v>105654.62</v>
      </c>
      <c r="Q13" s="119">
        <f>'20506'!H18</f>
        <v>344155.26</v>
      </c>
      <c r="R13" s="125">
        <v>0</v>
      </c>
      <c r="S13" s="125">
        <v>0</v>
      </c>
      <c r="T13" s="203">
        <f t="shared" si="0"/>
        <v>0</v>
      </c>
      <c r="U13" s="172">
        <v>0</v>
      </c>
      <c r="V13" s="102" t="s">
        <v>351</v>
      </c>
    </row>
    <row r="14" spans="1:22" s="101" customFormat="1" x14ac:dyDescent="0.4">
      <c r="A14" s="104">
        <v>11</v>
      </c>
      <c r="B14" s="102" t="s">
        <v>89</v>
      </c>
      <c r="C14" s="212">
        <v>20562</v>
      </c>
      <c r="D14" s="102">
        <v>4564</v>
      </c>
      <c r="E14" s="102" t="s">
        <v>232</v>
      </c>
      <c r="F14" s="102" t="s">
        <v>28</v>
      </c>
      <c r="G14" s="103" t="str">
        <f>VLOOKUP(F14,lookup!B:C,2,FALSE)</f>
        <v>Peabody</v>
      </c>
      <c r="H14" s="102" t="s">
        <v>162</v>
      </c>
      <c r="I14" s="102" t="s">
        <v>107</v>
      </c>
      <c r="J14" s="102" t="s">
        <v>101</v>
      </c>
      <c r="K14" s="102" t="s">
        <v>158</v>
      </c>
      <c r="L14" s="117">
        <v>400000</v>
      </c>
      <c r="M14" s="118">
        <v>405791</v>
      </c>
      <c r="N14" s="118">
        <v>362559.64</v>
      </c>
      <c r="O14" s="118">
        <v>362559.64</v>
      </c>
      <c r="P14" s="118">
        <v>362559.64</v>
      </c>
      <c r="Q14" s="119">
        <f>'20562'!H18</f>
        <v>405791</v>
      </c>
      <c r="R14" s="125">
        <v>0</v>
      </c>
      <c r="S14" s="125">
        <v>0</v>
      </c>
      <c r="T14" s="203">
        <f t="shared" si="0"/>
        <v>0</v>
      </c>
      <c r="U14" s="172">
        <v>0</v>
      </c>
      <c r="V14" s="102" t="s">
        <v>352</v>
      </c>
    </row>
    <row r="15" spans="1:22" s="101" customFormat="1" x14ac:dyDescent="0.4">
      <c r="A15" s="104">
        <v>12</v>
      </c>
      <c r="B15" s="102" t="s">
        <v>220</v>
      </c>
      <c r="C15" s="102">
        <v>20563</v>
      </c>
      <c r="D15" s="102">
        <v>4624</v>
      </c>
      <c r="E15" s="102"/>
      <c r="F15" s="102" t="s">
        <v>15</v>
      </c>
      <c r="G15" s="103" t="str">
        <f>VLOOKUP(F15,lookup!B:C,2,FALSE)</f>
        <v>Engineering</v>
      </c>
      <c r="H15" s="102" t="s">
        <v>163</v>
      </c>
      <c r="I15" s="102" t="s">
        <v>284</v>
      </c>
      <c r="J15" s="102" t="s">
        <v>274</v>
      </c>
      <c r="K15" s="102" t="s">
        <v>151</v>
      </c>
      <c r="L15" s="117">
        <v>386000</v>
      </c>
      <c r="M15" s="118">
        <v>0</v>
      </c>
      <c r="N15" s="118">
        <v>0</v>
      </c>
      <c r="O15" s="118">
        <v>0</v>
      </c>
      <c r="P15" s="118">
        <v>0</v>
      </c>
      <c r="Q15" s="119">
        <v>0</v>
      </c>
      <c r="R15" s="125">
        <v>0</v>
      </c>
      <c r="S15" s="125">
        <v>0</v>
      </c>
      <c r="T15" s="203">
        <f t="shared" si="0"/>
        <v>0</v>
      </c>
      <c r="U15" s="172" t="s">
        <v>220</v>
      </c>
      <c r="V15" s="102" t="s">
        <v>285</v>
      </c>
    </row>
    <row r="16" spans="1:22" s="101" customFormat="1" x14ac:dyDescent="0.4">
      <c r="A16" s="104">
        <v>13</v>
      </c>
      <c r="B16" s="102" t="s">
        <v>89</v>
      </c>
      <c r="C16" s="212">
        <v>20566</v>
      </c>
      <c r="D16" s="102">
        <v>20054</v>
      </c>
      <c r="E16" s="102" t="s">
        <v>160</v>
      </c>
      <c r="F16" s="102" t="s">
        <v>10</v>
      </c>
      <c r="G16" s="103" t="str">
        <f>VLOOKUP(F16,lookup!B:C,2,FALSE)</f>
        <v>Arts &amp; Science</v>
      </c>
      <c r="H16" s="102" t="s">
        <v>161</v>
      </c>
      <c r="I16" s="102" t="s">
        <v>187</v>
      </c>
      <c r="J16" s="102" t="s">
        <v>101</v>
      </c>
      <c r="K16" s="102" t="s">
        <v>151</v>
      </c>
      <c r="L16" s="117">
        <v>781870</v>
      </c>
      <c r="M16" s="118">
        <v>781870</v>
      </c>
      <c r="N16" s="118">
        <v>722586.68</v>
      </c>
      <c r="O16" s="118">
        <v>722586.68</v>
      </c>
      <c r="P16" s="118">
        <v>549550.68000000005</v>
      </c>
      <c r="Q16" s="119">
        <f>'20566'!H18</f>
        <v>781870</v>
      </c>
      <c r="R16" s="125">
        <v>0</v>
      </c>
      <c r="S16" s="125">
        <v>0</v>
      </c>
      <c r="T16" s="203">
        <f t="shared" si="0"/>
        <v>0</v>
      </c>
      <c r="U16" s="172">
        <v>0</v>
      </c>
      <c r="V16" s="102" t="s">
        <v>353</v>
      </c>
    </row>
    <row r="17" spans="1:22" s="101" customFormat="1" x14ac:dyDescent="0.4">
      <c r="A17" s="104">
        <v>14</v>
      </c>
      <c r="B17" s="102" t="s">
        <v>89</v>
      </c>
      <c r="C17" s="212">
        <v>20573</v>
      </c>
      <c r="D17" s="102">
        <v>8047</v>
      </c>
      <c r="E17" s="102" t="s">
        <v>243</v>
      </c>
      <c r="F17" s="102" t="s">
        <v>28</v>
      </c>
      <c r="G17" s="103" t="str">
        <f>VLOOKUP(F17,lookup!B:C,2,FALSE)</f>
        <v>Peabody</v>
      </c>
      <c r="H17" s="102" t="s">
        <v>162</v>
      </c>
      <c r="I17" s="102" t="s">
        <v>188</v>
      </c>
      <c r="J17" s="102" t="s">
        <v>101</v>
      </c>
      <c r="K17" s="102" t="s">
        <v>151</v>
      </c>
      <c r="L17" s="117">
        <v>1232681</v>
      </c>
      <c r="M17" s="118">
        <v>1232681</v>
      </c>
      <c r="N17" s="118">
        <v>1113460</v>
      </c>
      <c r="O17" s="118">
        <v>1113460</v>
      </c>
      <c r="P17" s="118">
        <v>823000</v>
      </c>
      <c r="Q17" s="119">
        <f>'20573'!H18</f>
        <v>1232681</v>
      </c>
      <c r="R17" s="125">
        <v>0</v>
      </c>
      <c r="S17" s="125">
        <v>0</v>
      </c>
      <c r="T17" s="203">
        <f t="shared" si="0"/>
        <v>0</v>
      </c>
      <c r="U17" s="172">
        <v>0</v>
      </c>
      <c r="V17" s="102" t="s">
        <v>354</v>
      </c>
    </row>
    <row r="18" spans="1:22" s="101" customFormat="1" x14ac:dyDescent="0.4">
      <c r="A18" s="104">
        <v>15</v>
      </c>
      <c r="B18" s="102" t="s">
        <v>89</v>
      </c>
      <c r="C18" s="212">
        <v>20574</v>
      </c>
      <c r="D18" s="102">
        <v>8145</v>
      </c>
      <c r="E18" s="102" t="s">
        <v>221</v>
      </c>
      <c r="F18" s="102" t="s">
        <v>21</v>
      </c>
      <c r="G18" s="103" t="str">
        <f>VLOOKUP(F18,lookup!B:C,2,FALSE)</f>
        <v>SOM Basic Sciences</v>
      </c>
      <c r="H18" s="102" t="s">
        <v>149</v>
      </c>
      <c r="I18" s="102" t="s">
        <v>189</v>
      </c>
      <c r="J18" s="102" t="s">
        <v>101</v>
      </c>
      <c r="K18" s="102" t="s">
        <v>158</v>
      </c>
      <c r="L18" s="117">
        <v>218202</v>
      </c>
      <c r="M18" s="118">
        <v>218202</v>
      </c>
      <c r="N18" s="118">
        <v>195665</v>
      </c>
      <c r="O18" s="118">
        <v>195665</v>
      </c>
      <c r="P18" s="118">
        <v>166360</v>
      </c>
      <c r="Q18" s="119">
        <f>'20574'!H18</f>
        <v>218202</v>
      </c>
      <c r="R18" s="125">
        <v>0</v>
      </c>
      <c r="S18" s="125">
        <v>0</v>
      </c>
      <c r="T18" s="203">
        <f t="shared" si="0"/>
        <v>0</v>
      </c>
      <c r="U18" s="172">
        <v>0</v>
      </c>
      <c r="V18" s="102" t="s">
        <v>355</v>
      </c>
    </row>
    <row r="19" spans="1:22" s="101" customFormat="1" x14ac:dyDescent="0.4">
      <c r="A19" s="104">
        <v>16</v>
      </c>
      <c r="B19" s="102" t="s">
        <v>89</v>
      </c>
      <c r="C19" s="212">
        <v>20577</v>
      </c>
      <c r="D19" s="102">
        <v>8146</v>
      </c>
      <c r="E19" s="102" t="s">
        <v>167</v>
      </c>
      <c r="F19" s="102" t="s">
        <v>12</v>
      </c>
      <c r="G19" s="103" t="str">
        <f>VLOOKUP(F19,lookup!B:C,2,FALSE)</f>
        <v>Blair</v>
      </c>
      <c r="H19" s="102" t="s">
        <v>152</v>
      </c>
      <c r="I19" s="102" t="s">
        <v>190</v>
      </c>
      <c r="J19" s="102" t="s">
        <v>100</v>
      </c>
      <c r="K19" s="102" t="s">
        <v>153</v>
      </c>
      <c r="L19" s="117">
        <v>4500000</v>
      </c>
      <c r="M19" s="118">
        <v>223000</v>
      </c>
      <c r="N19" s="118">
        <v>220566.21</v>
      </c>
      <c r="O19" s="118">
        <v>220566.21</v>
      </c>
      <c r="P19" s="118">
        <v>185191.21</v>
      </c>
      <c r="Q19" s="119">
        <f>'20577'!H18</f>
        <v>223000</v>
      </c>
      <c r="R19" s="125">
        <v>0</v>
      </c>
      <c r="S19" s="125">
        <v>0</v>
      </c>
      <c r="T19" s="203">
        <f t="shared" si="0"/>
        <v>0</v>
      </c>
      <c r="U19" s="172" t="s">
        <v>220</v>
      </c>
      <c r="V19" s="102" t="s">
        <v>356</v>
      </c>
    </row>
    <row r="20" spans="1:22" s="101" customFormat="1" x14ac:dyDescent="0.4">
      <c r="A20" s="104">
        <v>17</v>
      </c>
      <c r="B20" s="102" t="s">
        <v>89</v>
      </c>
      <c r="C20" s="212">
        <v>20644</v>
      </c>
      <c r="D20" s="102">
        <v>8241</v>
      </c>
      <c r="E20" s="102" t="s">
        <v>224</v>
      </c>
      <c r="F20" s="102" t="s">
        <v>28</v>
      </c>
      <c r="G20" s="103" t="str">
        <f>VLOOKUP(F20,lookup!B:C,2,FALSE)</f>
        <v>Peabody</v>
      </c>
      <c r="H20" s="102" t="s">
        <v>159</v>
      </c>
      <c r="I20" s="102" t="s">
        <v>298</v>
      </c>
      <c r="J20" s="102" t="s">
        <v>101</v>
      </c>
      <c r="K20" s="102" t="s">
        <v>151</v>
      </c>
      <c r="L20" s="117">
        <v>630554</v>
      </c>
      <c r="M20" s="118">
        <v>630554</v>
      </c>
      <c r="N20" s="118">
        <v>571789</v>
      </c>
      <c r="O20" s="118">
        <v>571789</v>
      </c>
      <c r="P20" s="118">
        <v>175193.4</v>
      </c>
      <c r="Q20" s="119">
        <f>'20644'!H18</f>
        <v>630554</v>
      </c>
      <c r="R20" s="125">
        <v>0</v>
      </c>
      <c r="S20" s="125">
        <v>0</v>
      </c>
      <c r="T20" s="203">
        <f t="shared" si="0"/>
        <v>0</v>
      </c>
      <c r="U20" s="172">
        <v>0</v>
      </c>
      <c r="V20" s="102" t="s">
        <v>357</v>
      </c>
    </row>
    <row r="21" spans="1:22" s="101" customFormat="1" x14ac:dyDescent="0.4">
      <c r="A21" s="104">
        <v>18</v>
      </c>
      <c r="B21" s="102" t="s">
        <v>90</v>
      </c>
      <c r="C21" s="212">
        <v>20645</v>
      </c>
      <c r="D21" s="102">
        <v>8239</v>
      </c>
      <c r="E21" s="102"/>
      <c r="F21" s="102" t="s">
        <v>10</v>
      </c>
      <c r="G21" s="103" t="str">
        <f>VLOOKUP(F21,lookup!B:C,2,FALSE)</f>
        <v>Arts &amp; Science</v>
      </c>
      <c r="H21" s="102" t="s">
        <v>150</v>
      </c>
      <c r="I21" s="102" t="s">
        <v>111</v>
      </c>
      <c r="J21" s="102" t="s">
        <v>101</v>
      </c>
      <c r="K21" s="102" t="s">
        <v>151</v>
      </c>
      <c r="L21" s="117">
        <v>125875</v>
      </c>
      <c r="M21" s="118">
        <v>125875</v>
      </c>
      <c r="N21" s="118">
        <v>112250</v>
      </c>
      <c r="O21" s="118">
        <v>112250</v>
      </c>
      <c r="P21" s="118">
        <v>85500</v>
      </c>
      <c r="Q21" s="119">
        <f>'20645'!H18</f>
        <v>125875</v>
      </c>
      <c r="R21" s="125">
        <v>0</v>
      </c>
      <c r="S21" s="125">
        <v>0</v>
      </c>
      <c r="T21" s="203">
        <f t="shared" si="0"/>
        <v>0</v>
      </c>
      <c r="U21" s="172">
        <v>0</v>
      </c>
      <c r="V21" s="102" t="s">
        <v>358</v>
      </c>
    </row>
    <row r="22" spans="1:22" s="101" customFormat="1" x14ac:dyDescent="0.4">
      <c r="A22" s="104">
        <v>19</v>
      </c>
      <c r="B22" s="102" t="s">
        <v>89</v>
      </c>
      <c r="C22" s="212">
        <v>20667</v>
      </c>
      <c r="D22" s="102">
        <v>8168</v>
      </c>
      <c r="E22" s="102" t="s">
        <v>176</v>
      </c>
      <c r="F22" s="102" t="s">
        <v>15</v>
      </c>
      <c r="G22" s="103" t="str">
        <f>VLOOKUP(F22,lookup!B:C,2,FALSE)</f>
        <v>Engineering</v>
      </c>
      <c r="H22" s="102" t="s">
        <v>165</v>
      </c>
      <c r="I22" s="102" t="s">
        <v>166</v>
      </c>
      <c r="J22" s="102" t="s">
        <v>100</v>
      </c>
      <c r="K22" s="102" t="s">
        <v>158</v>
      </c>
      <c r="L22" s="117"/>
      <c r="M22" s="118">
        <v>146500</v>
      </c>
      <c r="N22" s="118">
        <v>146500</v>
      </c>
      <c r="O22" s="118">
        <v>146500</v>
      </c>
      <c r="P22" s="118">
        <v>0</v>
      </c>
      <c r="Q22" s="119">
        <f>'20667'!H18</f>
        <v>146500</v>
      </c>
      <c r="R22" s="125">
        <v>0</v>
      </c>
      <c r="S22" s="125">
        <v>35000</v>
      </c>
      <c r="T22" s="203">
        <f t="shared" si="0"/>
        <v>35000</v>
      </c>
      <c r="U22" s="172">
        <v>0</v>
      </c>
      <c r="V22" s="102" t="s">
        <v>359</v>
      </c>
    </row>
    <row r="23" spans="1:22" s="101" customFormat="1" x14ac:dyDescent="0.4">
      <c r="A23" s="104">
        <v>20</v>
      </c>
      <c r="B23" s="102" t="s">
        <v>89</v>
      </c>
      <c r="C23" s="212">
        <v>20668</v>
      </c>
      <c r="D23" s="102">
        <v>8151</v>
      </c>
      <c r="E23" s="102" t="s">
        <v>192</v>
      </c>
      <c r="F23" s="102" t="s">
        <v>15</v>
      </c>
      <c r="G23" s="103" t="str">
        <f>VLOOKUP(F23,lookup!B:C,2,FALSE)</f>
        <v>Engineering</v>
      </c>
      <c r="H23" s="102" t="s">
        <v>163</v>
      </c>
      <c r="I23" s="102" t="s">
        <v>164</v>
      </c>
      <c r="J23" s="102" t="s">
        <v>100</v>
      </c>
      <c r="K23" s="102" t="s">
        <v>158</v>
      </c>
      <c r="L23" s="117"/>
      <c r="M23" s="118">
        <v>206500</v>
      </c>
      <c r="N23" s="118">
        <v>206500</v>
      </c>
      <c r="O23" s="118">
        <v>206500</v>
      </c>
      <c r="P23" s="118">
        <v>19170</v>
      </c>
      <c r="Q23" s="119">
        <f>'20668'!H18</f>
        <v>206500</v>
      </c>
      <c r="R23" s="125">
        <v>0</v>
      </c>
      <c r="S23" s="125">
        <v>35000</v>
      </c>
      <c r="T23" s="203">
        <f t="shared" si="0"/>
        <v>35000</v>
      </c>
      <c r="U23" s="172">
        <v>0</v>
      </c>
      <c r="V23" s="102" t="s">
        <v>360</v>
      </c>
    </row>
    <row r="24" spans="1:22" s="101" customFormat="1" x14ac:dyDescent="0.4">
      <c r="A24" s="104">
        <v>21</v>
      </c>
      <c r="B24" s="102" t="s">
        <v>89</v>
      </c>
      <c r="C24" s="212">
        <v>20698</v>
      </c>
      <c r="D24" s="102">
        <v>1138</v>
      </c>
      <c r="E24" s="102" t="s">
        <v>217</v>
      </c>
      <c r="F24" s="102" t="s">
        <v>10</v>
      </c>
      <c r="G24" s="103" t="str">
        <f>VLOOKUP(F24,lookup!B:C,2,FALSE)</f>
        <v>Arts &amp; Science</v>
      </c>
      <c r="H24" s="102" t="s">
        <v>209</v>
      </c>
      <c r="I24" s="102" t="s">
        <v>222</v>
      </c>
      <c r="J24" s="102" t="s">
        <v>100</v>
      </c>
      <c r="K24" s="102" t="s">
        <v>158</v>
      </c>
      <c r="L24" s="117"/>
      <c r="M24" s="118">
        <v>29250</v>
      </c>
      <c r="N24" s="118">
        <v>29250</v>
      </c>
      <c r="O24" s="118">
        <v>29250</v>
      </c>
      <c r="P24" s="118">
        <v>21207.5</v>
      </c>
      <c r="Q24" s="119">
        <f>'20698'!H18</f>
        <v>29250</v>
      </c>
      <c r="R24" s="125">
        <v>0</v>
      </c>
      <c r="S24" s="125" t="s">
        <v>220</v>
      </c>
      <c r="T24" s="203">
        <f t="shared" si="0"/>
        <v>0</v>
      </c>
      <c r="U24" s="172">
        <v>0</v>
      </c>
      <c r="V24" s="102" t="s">
        <v>361</v>
      </c>
    </row>
    <row r="25" spans="1:22" s="101" customFormat="1" x14ac:dyDescent="0.4">
      <c r="A25" s="104">
        <v>22</v>
      </c>
      <c r="B25" s="102" t="s">
        <v>90</v>
      </c>
      <c r="C25" s="212">
        <v>20700</v>
      </c>
      <c r="D25" s="102">
        <v>851</v>
      </c>
      <c r="E25" s="102"/>
      <c r="F25" s="102" t="s">
        <v>10</v>
      </c>
      <c r="G25" s="103" t="str">
        <f>VLOOKUP(F25,lookup!B:C,2,FALSE)</f>
        <v>Arts &amp; Science</v>
      </c>
      <c r="H25" s="102" t="s">
        <v>161</v>
      </c>
      <c r="I25" s="102" t="s">
        <v>379</v>
      </c>
      <c r="J25" s="102" t="s">
        <v>101</v>
      </c>
      <c r="K25" s="102" t="s">
        <v>158</v>
      </c>
      <c r="L25" s="117">
        <v>80000</v>
      </c>
      <c r="M25" s="118">
        <v>79623</v>
      </c>
      <c r="N25" s="118">
        <v>72458.77</v>
      </c>
      <c r="O25" s="118">
        <v>72458.77</v>
      </c>
      <c r="P25" s="118">
        <v>72458.77</v>
      </c>
      <c r="Q25" s="119">
        <f>'20700'!H18</f>
        <v>79623</v>
      </c>
      <c r="R25" s="125">
        <v>0</v>
      </c>
      <c r="S25" s="125">
        <v>0</v>
      </c>
      <c r="T25" s="203">
        <f t="shared" si="0"/>
        <v>0</v>
      </c>
      <c r="U25" s="172">
        <v>0</v>
      </c>
      <c r="V25" s="102" t="s">
        <v>362</v>
      </c>
    </row>
    <row r="26" spans="1:22" s="101" customFormat="1" x14ac:dyDescent="0.4">
      <c r="A26" s="104">
        <v>23</v>
      </c>
      <c r="B26" s="102" t="s">
        <v>89</v>
      </c>
      <c r="C26" s="212">
        <v>20701</v>
      </c>
      <c r="D26" s="102">
        <v>4399</v>
      </c>
      <c r="E26" s="102" t="s">
        <v>283</v>
      </c>
      <c r="F26" s="102" t="s">
        <v>10</v>
      </c>
      <c r="G26" s="103" t="str">
        <f>VLOOKUP(F26,lookup!B:C,2,FALSE)</f>
        <v>Arts &amp; Science</v>
      </c>
      <c r="H26" s="102" t="s">
        <v>210</v>
      </c>
      <c r="I26" s="102" t="s">
        <v>378</v>
      </c>
      <c r="J26" s="102" t="s">
        <v>181</v>
      </c>
      <c r="K26" s="102" t="s">
        <v>158</v>
      </c>
      <c r="L26" s="117">
        <v>500000</v>
      </c>
      <c r="M26" s="118">
        <v>499093</v>
      </c>
      <c r="N26" s="118">
        <v>0</v>
      </c>
      <c r="O26" s="118">
        <v>0</v>
      </c>
      <c r="P26" s="118">
        <v>0</v>
      </c>
      <c r="Q26" s="119">
        <f>'20701'!H18</f>
        <v>499093</v>
      </c>
      <c r="R26" s="125">
        <v>0</v>
      </c>
      <c r="S26" s="125">
        <v>0</v>
      </c>
      <c r="T26" s="203">
        <f t="shared" si="0"/>
        <v>0</v>
      </c>
      <c r="U26" s="172">
        <v>0</v>
      </c>
      <c r="V26" s="102" t="s">
        <v>363</v>
      </c>
    </row>
    <row r="27" spans="1:22" s="101" customFormat="1" x14ac:dyDescent="0.4">
      <c r="A27" s="104">
        <v>24</v>
      </c>
      <c r="B27" s="102" t="s">
        <v>89</v>
      </c>
      <c r="C27" s="212">
        <v>20702</v>
      </c>
      <c r="D27" s="102">
        <v>8432</v>
      </c>
      <c r="E27" s="102" t="s">
        <v>214</v>
      </c>
      <c r="F27" s="102" t="s">
        <v>28</v>
      </c>
      <c r="G27" s="103" t="str">
        <f>VLOOKUP(F27,lookup!B:C,2,FALSE)</f>
        <v>Peabody</v>
      </c>
      <c r="H27" s="102" t="s">
        <v>162</v>
      </c>
      <c r="I27" s="102" t="s">
        <v>215</v>
      </c>
      <c r="J27" s="102" t="s">
        <v>313</v>
      </c>
      <c r="K27" s="102" t="s">
        <v>151</v>
      </c>
      <c r="L27" s="117">
        <v>225791</v>
      </c>
      <c r="M27" s="118">
        <v>239341</v>
      </c>
      <c r="N27" s="118">
        <v>209419</v>
      </c>
      <c r="O27" s="118">
        <v>209419</v>
      </c>
      <c r="P27" s="118">
        <v>205444</v>
      </c>
      <c r="Q27" s="119">
        <f>'20702'!H18</f>
        <v>239341</v>
      </c>
      <c r="R27" s="125">
        <v>0</v>
      </c>
      <c r="S27" s="125">
        <v>0</v>
      </c>
      <c r="T27" s="203">
        <f t="shared" si="0"/>
        <v>0</v>
      </c>
      <c r="U27" s="172">
        <v>0</v>
      </c>
      <c r="V27" s="102" t="s">
        <v>364</v>
      </c>
    </row>
    <row r="28" spans="1:22" s="101" customFormat="1" x14ac:dyDescent="0.4">
      <c r="A28" s="104">
        <v>25</v>
      </c>
      <c r="B28" s="102" t="s">
        <v>89</v>
      </c>
      <c r="C28" s="212">
        <v>20718</v>
      </c>
      <c r="D28" s="102">
        <v>8608</v>
      </c>
      <c r="E28" s="102" t="s">
        <v>268</v>
      </c>
      <c r="F28" s="102" t="s">
        <v>10</v>
      </c>
      <c r="G28" s="103" t="str">
        <f>VLOOKUP(F28,lookup!B:C,2,FALSE)</f>
        <v>Arts &amp; Science</v>
      </c>
      <c r="H28" s="102" t="s">
        <v>269</v>
      </c>
      <c r="I28" s="102" t="s">
        <v>270</v>
      </c>
      <c r="J28" s="102" t="s">
        <v>101</v>
      </c>
      <c r="K28" s="102" t="s">
        <v>271</v>
      </c>
      <c r="L28" s="117">
        <v>715000</v>
      </c>
      <c r="M28" s="118">
        <v>715000</v>
      </c>
      <c r="N28" s="118">
        <v>616510</v>
      </c>
      <c r="O28" s="118">
        <v>617745.19999999995</v>
      </c>
      <c r="P28" s="118">
        <v>175728.65</v>
      </c>
      <c r="Q28" s="119">
        <f>'20718'!H18</f>
        <v>96166</v>
      </c>
      <c r="R28" s="125">
        <v>0</v>
      </c>
      <c r="S28" s="125">
        <v>0</v>
      </c>
      <c r="T28" s="203">
        <f t="shared" si="0"/>
        <v>0</v>
      </c>
      <c r="U28" s="172">
        <v>0</v>
      </c>
      <c r="V28" s="102" t="s">
        <v>365</v>
      </c>
    </row>
    <row r="29" spans="1:22" s="101" customFormat="1" x14ac:dyDescent="0.4">
      <c r="A29" s="104">
        <v>26</v>
      </c>
      <c r="B29" s="102" t="s">
        <v>89</v>
      </c>
      <c r="C29" s="212">
        <v>20723</v>
      </c>
      <c r="D29" s="102">
        <v>1628</v>
      </c>
      <c r="E29" s="102" t="s">
        <v>260</v>
      </c>
      <c r="F29" s="102" t="s">
        <v>21</v>
      </c>
      <c r="G29" s="103" t="str">
        <f>VLOOKUP(F29,lookup!B:C,2,FALSE)</f>
        <v>SOM Basic Sciences</v>
      </c>
      <c r="H29" s="102" t="s">
        <v>149</v>
      </c>
      <c r="I29" s="102" t="s">
        <v>314</v>
      </c>
      <c r="J29" s="102" t="s">
        <v>228</v>
      </c>
      <c r="K29" s="102" t="s">
        <v>153</v>
      </c>
      <c r="L29" s="117">
        <v>1600000</v>
      </c>
      <c r="M29" s="118">
        <v>160500</v>
      </c>
      <c r="N29" s="118">
        <v>155232.51999999999</v>
      </c>
      <c r="O29" s="118">
        <v>155232.51999999999</v>
      </c>
      <c r="P29" s="118">
        <v>138257.51999999999</v>
      </c>
      <c r="Q29" s="119">
        <f>'20723'!H18</f>
        <v>160500</v>
      </c>
      <c r="R29" s="125">
        <v>0</v>
      </c>
      <c r="S29" s="125">
        <f>L29-Q29</f>
        <v>1439500</v>
      </c>
      <c r="T29" s="203">
        <f t="shared" si="0"/>
        <v>1439500</v>
      </c>
      <c r="U29" s="172">
        <v>0</v>
      </c>
      <c r="V29" s="102" t="s">
        <v>366</v>
      </c>
    </row>
    <row r="30" spans="1:22" s="101" customFormat="1" x14ac:dyDescent="0.4">
      <c r="A30" s="104">
        <v>27</v>
      </c>
      <c r="B30" s="102" t="s">
        <v>89</v>
      </c>
      <c r="C30" s="212">
        <v>20724</v>
      </c>
      <c r="D30" s="102">
        <v>8557</v>
      </c>
      <c r="E30" s="102" t="s">
        <v>236</v>
      </c>
      <c r="F30" s="102" t="s">
        <v>12</v>
      </c>
      <c r="G30" s="103" t="str">
        <f>VLOOKUP(F30,lookup!B:C,2,FALSE)</f>
        <v>Blair</v>
      </c>
      <c r="H30" s="102" t="s">
        <v>152</v>
      </c>
      <c r="I30" s="102" t="s">
        <v>235</v>
      </c>
      <c r="J30" s="102" t="s">
        <v>228</v>
      </c>
      <c r="K30" s="102" t="s">
        <v>153</v>
      </c>
      <c r="L30" s="117">
        <v>1500000</v>
      </c>
      <c r="M30" s="118">
        <v>23400</v>
      </c>
      <c r="N30" s="118">
        <v>21480</v>
      </c>
      <c r="O30" s="118">
        <v>21480</v>
      </c>
      <c r="P30" s="118">
        <v>12000</v>
      </c>
      <c r="Q30" s="119">
        <f>'20724'!H18</f>
        <v>23400</v>
      </c>
      <c r="R30" s="125">
        <v>0</v>
      </c>
      <c r="S30" s="125">
        <f>L30-Q30</f>
        <v>1476600</v>
      </c>
      <c r="T30" s="203">
        <f t="shared" si="0"/>
        <v>1476600</v>
      </c>
      <c r="U30" s="172">
        <v>0</v>
      </c>
      <c r="V30" s="102" t="s">
        <v>367</v>
      </c>
    </row>
    <row r="31" spans="1:22" s="101" customFormat="1" x14ac:dyDescent="0.4">
      <c r="A31" s="104">
        <v>28</v>
      </c>
      <c r="B31" s="102" t="s">
        <v>90</v>
      </c>
      <c r="C31" s="212">
        <v>20735</v>
      </c>
      <c r="D31" s="102">
        <v>8226</v>
      </c>
      <c r="E31" s="102"/>
      <c r="F31" s="102" t="s">
        <v>26</v>
      </c>
      <c r="G31" s="103" t="str">
        <f>VLOOKUP(F31,lookup!B:C,2,FALSE)</f>
        <v>Owen</v>
      </c>
      <c r="H31" s="102" t="s">
        <v>247</v>
      </c>
      <c r="I31" s="102" t="s">
        <v>266</v>
      </c>
      <c r="J31" s="102" t="s">
        <v>101</v>
      </c>
      <c r="K31" s="102" t="s">
        <v>151</v>
      </c>
      <c r="L31" s="117">
        <v>300000</v>
      </c>
      <c r="M31" s="118">
        <v>300000</v>
      </c>
      <c r="N31" s="118">
        <v>276500</v>
      </c>
      <c r="O31" s="118">
        <v>276500</v>
      </c>
      <c r="P31" s="118">
        <v>24150</v>
      </c>
      <c r="Q31" s="119">
        <f>'20735'!H18</f>
        <v>300000</v>
      </c>
      <c r="R31" s="125">
        <v>0</v>
      </c>
      <c r="S31" s="125">
        <v>0</v>
      </c>
      <c r="T31" s="203">
        <f t="shared" si="0"/>
        <v>0</v>
      </c>
      <c r="U31" s="172">
        <v>0</v>
      </c>
      <c r="V31" s="102" t="s">
        <v>368</v>
      </c>
    </row>
    <row r="32" spans="1:22" s="101" customFormat="1" x14ac:dyDescent="0.4">
      <c r="A32" s="104">
        <v>29</v>
      </c>
      <c r="B32" s="102" t="s">
        <v>90</v>
      </c>
      <c r="C32" s="102">
        <v>20767</v>
      </c>
      <c r="D32" s="102">
        <v>8673</v>
      </c>
      <c r="E32" s="102"/>
      <c r="F32" s="102" t="s">
        <v>28</v>
      </c>
      <c r="G32" s="103" t="str">
        <f>VLOOKUP(F32,lookup!B:C,2,FALSE)</f>
        <v>Peabody</v>
      </c>
      <c r="H32" s="102" t="s">
        <v>272</v>
      </c>
      <c r="I32" s="102" t="s">
        <v>273</v>
      </c>
      <c r="J32" s="102" t="s">
        <v>100</v>
      </c>
      <c r="K32" s="102" t="s">
        <v>158</v>
      </c>
      <c r="L32" s="117"/>
      <c r="M32" s="118">
        <v>0</v>
      </c>
      <c r="N32" s="118">
        <v>0</v>
      </c>
      <c r="O32" s="118">
        <v>0</v>
      </c>
      <c r="P32" s="118">
        <v>0</v>
      </c>
      <c r="Q32" s="119">
        <v>0</v>
      </c>
      <c r="R32" s="125">
        <v>0</v>
      </c>
      <c r="S32" s="125">
        <v>35000</v>
      </c>
      <c r="T32" s="203">
        <f t="shared" si="0"/>
        <v>35000</v>
      </c>
      <c r="U32" s="172">
        <v>0</v>
      </c>
      <c r="V32" s="102" t="s">
        <v>369</v>
      </c>
    </row>
    <row r="33" spans="1:22" s="101" customFormat="1" x14ac:dyDescent="0.4">
      <c r="A33" s="104">
        <v>30</v>
      </c>
      <c r="B33" s="102" t="s">
        <v>90</v>
      </c>
      <c r="C33" s="102">
        <v>20771</v>
      </c>
      <c r="D33" s="102">
        <v>8674</v>
      </c>
      <c r="E33" s="102"/>
      <c r="F33" s="102" t="s">
        <v>10</v>
      </c>
      <c r="G33" s="103" t="str">
        <f>VLOOKUP(F33,lookup!B:C,2,FALSE)</f>
        <v>Arts &amp; Science</v>
      </c>
      <c r="H33" s="102" t="s">
        <v>161</v>
      </c>
      <c r="I33" s="102" t="s">
        <v>276</v>
      </c>
      <c r="J33" s="102" t="s">
        <v>278</v>
      </c>
      <c r="K33" s="102" t="s">
        <v>158</v>
      </c>
      <c r="L33" s="117">
        <v>25000</v>
      </c>
      <c r="M33" s="118">
        <v>24997</v>
      </c>
      <c r="N33" s="118">
        <v>17972</v>
      </c>
      <c r="O33" s="118">
        <v>17972</v>
      </c>
      <c r="P33" s="118">
        <v>17972</v>
      </c>
      <c r="Q33" s="119">
        <f>'20771'!H18</f>
        <v>24997</v>
      </c>
      <c r="R33" s="125">
        <v>0</v>
      </c>
      <c r="S33" s="125">
        <v>0</v>
      </c>
      <c r="T33" s="203">
        <f t="shared" si="0"/>
        <v>0</v>
      </c>
      <c r="U33" s="172">
        <v>0</v>
      </c>
      <c r="V33" s="102" t="s">
        <v>370</v>
      </c>
    </row>
    <row r="34" spans="1:22" s="101" customFormat="1" x14ac:dyDescent="0.4">
      <c r="A34" s="104">
        <v>31</v>
      </c>
      <c r="B34" s="102" t="s">
        <v>89</v>
      </c>
      <c r="C34" s="102">
        <v>20772</v>
      </c>
      <c r="D34" s="102">
        <v>8675</v>
      </c>
      <c r="E34" s="102"/>
      <c r="F34" s="102" t="s">
        <v>26</v>
      </c>
      <c r="G34" s="103" t="str">
        <f>VLOOKUP(F34,lookup!B:C,2,FALSE)</f>
        <v>Owen</v>
      </c>
      <c r="H34" s="102" t="s">
        <v>247</v>
      </c>
      <c r="I34" s="102" t="s">
        <v>277</v>
      </c>
      <c r="J34" s="102" t="s">
        <v>342</v>
      </c>
      <c r="K34" s="102" t="s">
        <v>151</v>
      </c>
      <c r="L34" s="117"/>
      <c r="M34" s="118">
        <v>0</v>
      </c>
      <c r="N34" s="118">
        <v>0</v>
      </c>
      <c r="O34" s="118">
        <v>0</v>
      </c>
      <c r="P34" s="118">
        <v>0</v>
      </c>
      <c r="Q34" s="119">
        <v>0</v>
      </c>
      <c r="R34" s="125">
        <v>0</v>
      </c>
      <c r="S34" s="125" t="s">
        <v>220</v>
      </c>
      <c r="T34" s="203">
        <f t="shared" si="0"/>
        <v>0</v>
      </c>
      <c r="U34" s="172">
        <v>0</v>
      </c>
      <c r="V34" s="102" t="s">
        <v>371</v>
      </c>
    </row>
    <row r="35" spans="1:22" s="101" customFormat="1" x14ac:dyDescent="0.4">
      <c r="A35" s="104">
        <v>32</v>
      </c>
      <c r="B35" s="102" t="s">
        <v>89</v>
      </c>
      <c r="C35" s="102">
        <v>20792</v>
      </c>
      <c r="D35" s="102">
        <v>1035</v>
      </c>
      <c r="E35" s="102" t="s">
        <v>300</v>
      </c>
      <c r="F35" s="102" t="s">
        <v>156</v>
      </c>
      <c r="G35" s="103" t="str">
        <f>VLOOKUP(F35,lookup!B:C,2,FALSE)</f>
        <v>Law</v>
      </c>
      <c r="H35" s="102" t="s">
        <v>294</v>
      </c>
      <c r="I35" s="102" t="s">
        <v>295</v>
      </c>
      <c r="J35" s="102" t="s">
        <v>101</v>
      </c>
      <c r="K35" s="102" t="s">
        <v>151</v>
      </c>
      <c r="L35" s="117">
        <v>400000</v>
      </c>
      <c r="M35" s="118">
        <v>483440</v>
      </c>
      <c r="N35" s="118">
        <v>441580</v>
      </c>
      <c r="O35" s="118">
        <v>441580</v>
      </c>
      <c r="P35" s="118">
        <v>0</v>
      </c>
      <c r="Q35" s="119">
        <f>'20792'!H18</f>
        <v>483440</v>
      </c>
      <c r="R35" s="125">
        <v>0</v>
      </c>
      <c r="S35" s="125">
        <v>0</v>
      </c>
      <c r="T35" s="203">
        <f t="shared" si="0"/>
        <v>0</v>
      </c>
      <c r="U35" s="172">
        <v>0</v>
      </c>
      <c r="V35" s="102" t="s">
        <v>372</v>
      </c>
    </row>
    <row r="36" spans="1:22" s="101" customFormat="1" x14ac:dyDescent="0.4">
      <c r="A36" s="104">
        <v>33</v>
      </c>
      <c r="B36" s="102" t="s">
        <v>220</v>
      </c>
      <c r="C36" s="102">
        <v>20832</v>
      </c>
      <c r="D36" s="102"/>
      <c r="E36" s="102"/>
      <c r="F36" s="102" t="s">
        <v>10</v>
      </c>
      <c r="G36" s="103" t="str">
        <f>VLOOKUP(F36,lookup!B:C,2,FALSE)</f>
        <v>Arts &amp; Science</v>
      </c>
      <c r="H36" s="102" t="s">
        <v>209</v>
      </c>
      <c r="I36" s="102" t="s">
        <v>339</v>
      </c>
      <c r="J36" s="102" t="s">
        <v>274</v>
      </c>
      <c r="K36" s="102" t="s">
        <v>158</v>
      </c>
      <c r="L36" s="117"/>
      <c r="M36" s="118">
        <v>0</v>
      </c>
      <c r="N36" s="118">
        <v>0</v>
      </c>
      <c r="O36" s="118">
        <v>0</v>
      </c>
      <c r="P36" s="118">
        <v>0</v>
      </c>
      <c r="Q36" s="119"/>
      <c r="R36" s="125"/>
      <c r="S36" s="125"/>
      <c r="T36" s="203"/>
      <c r="U36" s="172"/>
      <c r="V36" s="102" t="s">
        <v>373</v>
      </c>
    </row>
    <row r="37" spans="1:22" s="101" customFormat="1" x14ac:dyDescent="0.4">
      <c r="A37" s="104">
        <v>34</v>
      </c>
      <c r="B37" s="102" t="s">
        <v>220</v>
      </c>
      <c r="C37" s="102">
        <v>20833</v>
      </c>
      <c r="D37" s="102"/>
      <c r="E37" s="102"/>
      <c r="F37" s="102" t="s">
        <v>10</v>
      </c>
      <c r="G37" s="103" t="str">
        <f>VLOOKUP(F37,lookup!B:C,2,FALSE)</f>
        <v>Arts &amp; Science</v>
      </c>
      <c r="H37" s="102" t="s">
        <v>210</v>
      </c>
      <c r="I37" s="102" t="s">
        <v>340</v>
      </c>
      <c r="J37" s="102" t="s">
        <v>274</v>
      </c>
      <c r="K37" s="102" t="s">
        <v>158</v>
      </c>
      <c r="L37" s="117"/>
      <c r="M37" s="118">
        <v>0</v>
      </c>
      <c r="N37" s="118">
        <v>0</v>
      </c>
      <c r="O37" s="118">
        <v>0</v>
      </c>
      <c r="P37" s="118">
        <v>0</v>
      </c>
      <c r="Q37" s="119"/>
      <c r="R37" s="125"/>
      <c r="S37" s="125"/>
      <c r="T37" s="203"/>
      <c r="U37" s="172"/>
      <c r="V37" s="102" t="s">
        <v>373</v>
      </c>
    </row>
    <row r="38" spans="1:22" ht="15" thickBot="1" x14ac:dyDescent="0.45">
      <c r="B38" s="92"/>
      <c r="C38" s="92"/>
      <c r="D38" s="93"/>
      <c r="E38" s="92"/>
      <c r="F38" s="92"/>
      <c r="G38" s="105"/>
      <c r="H38" s="92"/>
      <c r="I38" s="92"/>
      <c r="J38" s="92"/>
      <c r="K38" s="92"/>
      <c r="L38" s="120">
        <f>SUM(L4:L35)</f>
        <v>27855242.759999998</v>
      </c>
      <c r="M38" s="121">
        <f t="shared" ref="M38:U38" si="1">SUM(M4:M35)</f>
        <v>13356626.76</v>
      </c>
      <c r="N38" s="121">
        <f t="shared" si="1"/>
        <v>11135755.259999998</v>
      </c>
      <c r="O38" s="121">
        <f t="shared" si="1"/>
        <v>11148923.879999997</v>
      </c>
      <c r="P38" s="121">
        <f t="shared" si="1"/>
        <v>6888511.8899999997</v>
      </c>
      <c r="Q38" s="122">
        <f>SUM(Q4:Q35)</f>
        <v>8797286.2599999998</v>
      </c>
      <c r="R38" s="126">
        <f>SUM(R4:R35)</f>
        <v>1028900</v>
      </c>
      <c r="S38" s="126">
        <f>SUM(S4:S35)</f>
        <v>6751237.5</v>
      </c>
      <c r="T38" s="204">
        <f>SUM(T4:T35)</f>
        <v>7780137.5</v>
      </c>
      <c r="U38" s="173">
        <f t="shared" si="1"/>
        <v>0</v>
      </c>
      <c r="V38" s="92"/>
    </row>
    <row r="39" spans="1:22" x14ac:dyDescent="0.4">
      <c r="Q39" s="123" t="b">
        <f>Q38='JE LOG_FY23'!C21</f>
        <v>1</v>
      </c>
      <c r="R39" s="123" t="b">
        <f>R38='JE LOG_FY24'!C21</f>
        <v>1</v>
      </c>
      <c r="T39" s="87"/>
    </row>
    <row r="40" spans="1:22" x14ac:dyDescent="0.4">
      <c r="I40" s="98" t="s">
        <v>216</v>
      </c>
    </row>
    <row r="41" spans="1:22" x14ac:dyDescent="0.4">
      <c r="I41" s="99" t="s">
        <v>275</v>
      </c>
      <c r="L41" s="160" t="s">
        <v>262</v>
      </c>
      <c r="M41" s="160"/>
      <c r="N41" s="160"/>
      <c r="O41" s="160"/>
      <c r="P41" s="160"/>
      <c r="Q41" s="160">
        <f>'Summary_for Web-1'!C15</f>
        <v>9364499</v>
      </c>
      <c r="S41" s="160" t="s">
        <v>326</v>
      </c>
      <c r="T41" s="160">
        <f>Q45</f>
        <v>567212.74000000022</v>
      </c>
    </row>
    <row r="42" spans="1:22" x14ac:dyDescent="0.4">
      <c r="A42" s="85"/>
      <c r="I42" s="99" t="s">
        <v>380</v>
      </c>
      <c r="L42" s="160"/>
      <c r="M42" s="160"/>
      <c r="N42" s="160"/>
      <c r="O42" s="160"/>
      <c r="P42" s="160"/>
      <c r="Q42" s="161"/>
      <c r="S42" s="160" t="s">
        <v>262</v>
      </c>
      <c r="T42" s="160">
        <f>Contributions!G14</f>
        <v>11029283.289999999</v>
      </c>
    </row>
    <row r="43" spans="1:22" x14ac:dyDescent="0.4">
      <c r="I43" s="99" t="s">
        <v>336</v>
      </c>
      <c r="J43" s="106"/>
      <c r="L43" s="160" t="s">
        <v>263</v>
      </c>
      <c r="M43" s="160"/>
      <c r="N43" s="160"/>
      <c r="O43" s="160"/>
      <c r="P43" s="160"/>
      <c r="Q43" s="161">
        <f>Q38</f>
        <v>8797286.2599999998</v>
      </c>
      <c r="S43" s="160"/>
      <c r="T43" s="162">
        <f>SUM(T41:T42)</f>
        <v>11596496.029999999</v>
      </c>
    </row>
    <row r="44" spans="1:22" x14ac:dyDescent="0.4">
      <c r="L44" s="160"/>
      <c r="M44" s="160"/>
      <c r="N44" s="160"/>
      <c r="O44" s="160"/>
      <c r="P44" s="160"/>
      <c r="Q44" s="160"/>
    </row>
    <row r="45" spans="1:22" x14ac:dyDescent="0.4">
      <c r="I45" s="98" t="s">
        <v>226</v>
      </c>
      <c r="L45" s="160" t="s">
        <v>264</v>
      </c>
      <c r="M45" s="160"/>
      <c r="N45" s="160"/>
      <c r="O45" s="160"/>
      <c r="P45" s="160"/>
      <c r="Q45" s="160">
        <f>Q41-Q43</f>
        <v>567212.74000000022</v>
      </c>
      <c r="S45" s="160" t="s">
        <v>263</v>
      </c>
      <c r="T45" s="161">
        <f>R38</f>
        <v>1028900</v>
      </c>
    </row>
    <row r="46" spans="1:22" x14ac:dyDescent="0.4">
      <c r="I46" s="211" t="s">
        <v>282</v>
      </c>
      <c r="S46" s="160" t="s">
        <v>265</v>
      </c>
      <c r="T46" s="161">
        <f>S38</f>
        <v>6751237.5</v>
      </c>
    </row>
    <row r="47" spans="1:22" x14ac:dyDescent="0.4">
      <c r="I47" s="99" t="s">
        <v>308</v>
      </c>
      <c r="S47" s="160"/>
      <c r="T47" s="162">
        <f>SUM(T45:T46)</f>
        <v>7780137.5</v>
      </c>
    </row>
    <row r="48" spans="1:22" x14ac:dyDescent="0.4">
      <c r="I48" s="99" t="s">
        <v>337</v>
      </c>
      <c r="S48" s="160"/>
      <c r="T48" s="160"/>
    </row>
    <row r="49" spans="9:20" x14ac:dyDescent="0.4">
      <c r="S49" s="160" t="s">
        <v>264</v>
      </c>
      <c r="T49" s="160">
        <f>T43-T47</f>
        <v>3816358.5299999993</v>
      </c>
    </row>
    <row r="50" spans="9:20" x14ac:dyDescent="0.4">
      <c r="I50" s="99"/>
    </row>
    <row r="53" spans="9:20" x14ac:dyDescent="0.4">
      <c r="I53" s="174"/>
    </row>
    <row r="54" spans="9:20" x14ac:dyDescent="0.4">
      <c r="I54" s="174"/>
    </row>
  </sheetData>
  <sortState xmlns:xlrd2="http://schemas.microsoft.com/office/spreadsheetml/2017/richdata2" ref="A4:V23">
    <sortCondition ref="C4:C23"/>
    <sortCondition ref="J4:J23"/>
    <sortCondition descending="1" ref="L4:L23"/>
  </sortState>
  <phoneticPr fontId="5" type="noConversion"/>
  <hyperlinks>
    <hyperlink ref="Q1" location="'JE LOG_FY23'!A1" display="'JE LOG_FY23'!A1" xr:uid="{4AA5BFBA-BD76-4E23-903B-8F8B27E7CF98}"/>
    <hyperlink ref="T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7" tint="-0.499984740745262"/>
  </sheetPr>
  <dimension ref="A2:N84"/>
  <sheetViews>
    <sheetView topLeftCell="A31" zoomScale="90" zoomScaleNormal="90" workbookViewId="0">
      <selection activeCell="B47" sqref="B47"/>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31.15234375" bestFit="1" customWidth="1"/>
    <col min="7" max="7" width="13.84375" bestFit="1" customWidth="1"/>
    <col min="8" max="9" width="12" style="21" customWidth="1" outlineLevel="1"/>
    <col min="10" max="12" width="14.15234375" customWidth="1"/>
    <col min="14" max="14" width="10.53515625" bestFit="1" customWidth="1"/>
  </cols>
  <sheetData>
    <row r="2" spans="1:12" x14ac:dyDescent="0.4">
      <c r="A2" s="214" t="s">
        <v>302</v>
      </c>
      <c r="B2" s="177"/>
      <c r="C2" s="177" t="s">
        <v>127</v>
      </c>
      <c r="D2" s="177" t="s">
        <v>114</v>
      </c>
      <c r="E2" s="177" t="s">
        <v>87</v>
      </c>
      <c r="F2" s="177" t="s">
        <v>130</v>
      </c>
      <c r="G2" s="177" t="s">
        <v>131</v>
      </c>
      <c r="H2" s="178" t="s">
        <v>263</v>
      </c>
      <c r="I2" s="178" t="s">
        <v>304</v>
      </c>
      <c r="J2" s="194" t="s">
        <v>303</v>
      </c>
      <c r="K2" s="188" t="s">
        <v>306</v>
      </c>
      <c r="L2" s="195" t="s">
        <v>264</v>
      </c>
    </row>
    <row r="3" spans="1:12" ht="14.7" customHeight="1" x14ac:dyDescent="0.4">
      <c r="A3" s="214"/>
      <c r="B3" s="109">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1">
        <f>VLOOKUP(C3,'Project Status'!C:Q,15,FALSE)</f>
        <v>17500</v>
      </c>
      <c r="J3" s="176">
        <f>SUM(H3:I3)</f>
        <v>17500</v>
      </c>
      <c r="K3" s="213">
        <v>9364499</v>
      </c>
      <c r="L3" s="199"/>
    </row>
    <row r="4" spans="1:12" x14ac:dyDescent="0.4">
      <c r="A4" s="214"/>
      <c r="B4" s="109">
        <v>2</v>
      </c>
      <c r="C4">
        <v>10098</v>
      </c>
      <c r="D4" t="str">
        <f>VLOOKUP(C4,'Project Status'!C:H,6,FALSE)</f>
        <v>MRB III BIO/SCI</v>
      </c>
      <c r="E4" t="str">
        <f>VLOOKUP(C4,'Project Status'!C:I,7,FALSE)</f>
        <v>MRB III - 4th Floor - Replace Controls (Phase 2)</v>
      </c>
      <c r="F4" t="s">
        <v>238</v>
      </c>
      <c r="G4" t="str">
        <f>VLOOKUP(C4,'Project Status'!C:K,9,FALSE)</f>
        <v>Hans Mooy</v>
      </c>
      <c r="H4" s="21">
        <f>VLOOKUP(C4,'Project Status'!C:Q,15,FALSE)</f>
        <v>1216485.5</v>
      </c>
      <c r="J4" s="176">
        <f t="shared" ref="J4:J31" si="0">SUM(H4:I4)</f>
        <v>1216485.5</v>
      </c>
      <c r="K4" s="213"/>
      <c r="L4" s="199"/>
    </row>
    <row r="5" spans="1:12" x14ac:dyDescent="0.4">
      <c r="A5" s="214"/>
      <c r="B5" s="109">
        <v>3</v>
      </c>
      <c r="C5">
        <v>10146</v>
      </c>
      <c r="D5" t="str">
        <f>VLOOKUP(C5,'Project Status'!C:H,6,FALSE)</f>
        <v>Godchaux Hall</v>
      </c>
      <c r="E5" t="str">
        <f>VLOOKUP(C5,'Project Status'!C:I,7,FALSE)</f>
        <v>Godchaux Hall - HVAC Upgrade</v>
      </c>
      <c r="F5" t="s">
        <v>100</v>
      </c>
      <c r="G5" t="str">
        <f>VLOOKUP(C5,'Project Status'!C:K,9,FALSE)</f>
        <v>Sean Rewers</v>
      </c>
      <c r="H5" s="21">
        <f>VLOOKUP(C5,'Project Status'!C:Q,15,FALSE)</f>
        <v>4900</v>
      </c>
      <c r="J5" s="176">
        <f t="shared" si="0"/>
        <v>4900</v>
      </c>
      <c r="K5" s="213"/>
      <c r="L5" s="199"/>
    </row>
    <row r="6" spans="1:12" x14ac:dyDescent="0.4">
      <c r="A6" s="214"/>
      <c r="B6" s="109">
        <v>4</v>
      </c>
      <c r="C6">
        <v>20179</v>
      </c>
      <c r="D6" t="str">
        <f>VLOOKUP(C6,'Project Status'!C:H,6,FALSE)</f>
        <v>Law School</v>
      </c>
      <c r="E6" t="str">
        <f>VLOOKUP(C6,'Project Status'!C:I,7,FALSE)</f>
        <v>Law School - Fire Alarm System Replacement</v>
      </c>
      <c r="F6" t="s">
        <v>238</v>
      </c>
      <c r="G6" t="str">
        <f>VLOOKUP(C6,'Project Status'!C:K,9,FALSE)</f>
        <v>Bob Grummon</v>
      </c>
      <c r="H6" s="21">
        <f>VLOOKUP(C6,'Project Status'!C:Q,15,FALSE)</f>
        <v>722694.5</v>
      </c>
      <c r="J6" s="176">
        <f t="shared" si="0"/>
        <v>722694.5</v>
      </c>
      <c r="K6" s="213"/>
      <c r="L6" s="199"/>
    </row>
    <row r="7" spans="1:12" x14ac:dyDescent="0.4">
      <c r="A7" s="214"/>
      <c r="B7" s="109">
        <v>5</v>
      </c>
      <c r="C7">
        <v>20336</v>
      </c>
      <c r="D7" t="str">
        <f>VLOOKUP(C7,'Project Status'!C:H,6,FALSE)</f>
        <v>BLAIR SCHOOL OF MUSIC</v>
      </c>
      <c r="E7" t="str">
        <f>VLOOKUP(C7,'Project Status'!C:I,7,FALSE)</f>
        <v>Blair School of Music - Elevator #3 Modernization</v>
      </c>
      <c r="F7" t="s">
        <v>101</v>
      </c>
      <c r="G7" t="str">
        <f>VLOOKUP(C7,'Project Status'!C:K,9,FALSE)</f>
        <v>Ben Bedock</v>
      </c>
      <c r="H7" s="21">
        <f>VLOOKUP(C7,'Project Status'!C:Q,15,FALSE)</f>
        <v>327890</v>
      </c>
      <c r="J7" s="176">
        <f t="shared" si="0"/>
        <v>327890</v>
      </c>
      <c r="K7" s="213"/>
      <c r="L7" s="199"/>
    </row>
    <row r="8" spans="1:12" x14ac:dyDescent="0.4">
      <c r="A8" s="214"/>
      <c r="B8" s="109">
        <v>6</v>
      </c>
      <c r="C8">
        <v>20431</v>
      </c>
      <c r="D8" t="str">
        <f>VLOOKUP(C8,'Project Status'!C:H,6,FALSE)</f>
        <v>DIVINITY</v>
      </c>
      <c r="E8" t="str">
        <f>VLOOKUP(C8,'Project Status'!C:I,7,FALSE)</f>
        <v>Divinity - AHU 5N (5 &amp; 6) Replacement</v>
      </c>
      <c r="F8" t="s">
        <v>101</v>
      </c>
      <c r="G8" t="str">
        <f>VLOOKUP(C8,'Project Status'!C:K,9,FALSE)</f>
        <v>Hans Mooy</v>
      </c>
      <c r="H8" s="21">
        <f>VLOOKUP(C8,'Project Status'!C:Q,15,FALSE)</f>
        <v>69862.5</v>
      </c>
      <c r="J8" s="176">
        <f t="shared" si="0"/>
        <v>69862.5</v>
      </c>
      <c r="K8" s="213"/>
      <c r="L8" s="199"/>
    </row>
    <row r="9" spans="1:12" x14ac:dyDescent="0.4">
      <c r="A9" s="214"/>
      <c r="B9" s="109">
        <v>7</v>
      </c>
      <c r="C9">
        <v>20478</v>
      </c>
      <c r="D9" t="str">
        <f>VLOOKUP(C9,'Project Status'!C:H,6,FALSE)</f>
        <v>BRYAN BLDG</v>
      </c>
      <c r="E9" t="str">
        <f>VLOOKUP(C9,'Project Status'!C:I,7,FALSE)</f>
        <v>Bryan Building - Swing Space Renovation - A&amp;S Planning</v>
      </c>
      <c r="F9" t="s">
        <v>228</v>
      </c>
      <c r="G9" t="str">
        <f>VLOOKUP(C9,'Project Status'!C:K,9,FALSE)</f>
        <v>Cathy Bartlett</v>
      </c>
      <c r="H9" s="21">
        <f>VLOOKUP(C9,'Project Status'!C:Q,15,FALSE)</f>
        <v>81100</v>
      </c>
      <c r="J9" s="176">
        <f t="shared" si="0"/>
        <v>81100</v>
      </c>
      <c r="K9" s="213"/>
      <c r="L9" s="199"/>
    </row>
    <row r="10" spans="1:12" x14ac:dyDescent="0.4">
      <c r="A10" s="214"/>
      <c r="B10" s="109">
        <v>8</v>
      </c>
      <c r="C10">
        <v>20489</v>
      </c>
      <c r="D10" t="str">
        <f>VLOOKUP(C10,'Project Status'!C:H,6,FALSE)</f>
        <v>DIVINITY</v>
      </c>
      <c r="E10" t="str">
        <f>VLOOKUP(C10,'Project Status'!C:I,7,FALSE)</f>
        <v>Divinity - AHU 1N (1&amp;3) Replacement with Benton</v>
      </c>
      <c r="F10" t="s">
        <v>100</v>
      </c>
      <c r="G10" t="str">
        <f>VLOOKUP(C10,'Project Status'!C:K,9,FALSE)</f>
        <v>Hans Mooy</v>
      </c>
      <c r="H10" s="21">
        <f>VLOOKUP(C10,'Project Status'!C:Q,15,FALSE)</f>
        <v>26500</v>
      </c>
      <c r="J10" s="176">
        <f t="shared" si="0"/>
        <v>26500</v>
      </c>
      <c r="K10" s="213"/>
      <c r="L10" s="199"/>
    </row>
    <row r="11" spans="1:12" x14ac:dyDescent="0.4">
      <c r="A11" s="214"/>
      <c r="B11" s="109">
        <v>9</v>
      </c>
      <c r="C11">
        <v>20497</v>
      </c>
      <c r="D11" t="str">
        <f>VLOOKUP(C11,'Project Status'!C:H,6,FALSE)</f>
        <v>JESUP PSYCHOLOGY</v>
      </c>
      <c r="E11" t="str">
        <f>VLOOKUP(C11,'Project Status'!C:I,7,FALSE)</f>
        <v>Jesup - Roof Replacement</v>
      </c>
      <c r="F11" t="s">
        <v>101</v>
      </c>
      <c r="G11" t="str">
        <f>VLOOKUP(C11,'Project Status'!C:K,9,FALSE)</f>
        <v>Ben Bedock</v>
      </c>
      <c r="H11" s="21">
        <f>VLOOKUP(C11,'Project Status'!C:Q,15,FALSE)</f>
        <v>79415.5</v>
      </c>
      <c r="J11" s="176">
        <f t="shared" si="0"/>
        <v>79415.5</v>
      </c>
      <c r="K11" s="213"/>
      <c r="L11" s="199"/>
    </row>
    <row r="12" spans="1:12" x14ac:dyDescent="0.4">
      <c r="A12" s="214"/>
      <c r="B12" s="109">
        <v>10</v>
      </c>
      <c r="C12">
        <v>20506</v>
      </c>
      <c r="D12" t="str">
        <f>VLOOKUP(C12,'Project Status'!C:H,6,FALSE)</f>
        <v>WYATT CENTER</v>
      </c>
      <c r="E12" t="str">
        <f>VLOOKUP(C12,'Project Status'!C:I,7,FALSE)</f>
        <v>Wyatt Center - Window Replacement</v>
      </c>
      <c r="F12" t="s">
        <v>101</v>
      </c>
      <c r="G12" t="str">
        <f>VLOOKUP(C12,'Project Status'!C:K,9,FALSE)</f>
        <v>Ben Bedock</v>
      </c>
      <c r="H12" s="21">
        <f>VLOOKUP(C12,'Project Status'!C:Q,15,FALSE)</f>
        <v>344155.26</v>
      </c>
      <c r="J12" s="176">
        <f t="shared" si="0"/>
        <v>344155.26</v>
      </c>
      <c r="K12" s="213"/>
      <c r="L12" s="199"/>
    </row>
    <row r="13" spans="1:12" x14ac:dyDescent="0.4">
      <c r="A13" s="214"/>
      <c r="B13" s="109">
        <v>11</v>
      </c>
      <c r="C13">
        <v>20562</v>
      </c>
      <c r="D13" t="str">
        <f>VLOOKUP(C13,'Project Status'!C:H,6,FALSE)</f>
        <v>WYATT CENTER</v>
      </c>
      <c r="E13" t="str">
        <f>VLOOKUP(C13,'Project Status'!C:I,7,FALSE)</f>
        <v>Wyatt Center - VAV Replacement</v>
      </c>
      <c r="F13" t="s">
        <v>101</v>
      </c>
      <c r="G13" t="str">
        <f>VLOOKUP(C13,'Project Status'!C:K,9,FALSE)</f>
        <v>Sean Rewers</v>
      </c>
      <c r="H13" s="21">
        <f>VLOOKUP(C13,'Project Status'!C:Q,15,FALSE)</f>
        <v>405791</v>
      </c>
      <c r="J13" s="176">
        <f t="shared" si="0"/>
        <v>405791</v>
      </c>
      <c r="K13" s="213"/>
      <c r="L13" s="199"/>
    </row>
    <row r="14" spans="1:12" x14ac:dyDescent="0.4">
      <c r="A14" s="214"/>
      <c r="B14" s="109">
        <v>12</v>
      </c>
      <c r="C14">
        <v>20566</v>
      </c>
      <c r="D14" t="str">
        <f>VLOOKUP(C14,'Project Status'!C:H,6,FALSE)</f>
        <v>SC CHEMISTRY</v>
      </c>
      <c r="E14" t="str">
        <f>VLOOKUP(C14,'Project Status'!C:I,7,FALSE)</f>
        <v>SC Chemistry (SC7) - Elevator 1 &amp; 2 Modernization</v>
      </c>
      <c r="F14" t="s">
        <v>101</v>
      </c>
      <c r="G14" t="str">
        <f>VLOOKUP(C14,'Project Status'!C:K,9,FALSE)</f>
        <v>Ben Bedock</v>
      </c>
      <c r="H14" s="21">
        <f>VLOOKUP(C14,'Project Status'!C:Q,15,FALSE)</f>
        <v>781870</v>
      </c>
      <c r="J14" s="176">
        <f t="shared" si="0"/>
        <v>781870</v>
      </c>
      <c r="K14" s="213"/>
      <c r="L14" s="199"/>
    </row>
    <row r="15" spans="1:12" x14ac:dyDescent="0.4">
      <c r="A15" s="214"/>
      <c r="B15" s="109">
        <v>13</v>
      </c>
      <c r="C15">
        <v>20573</v>
      </c>
      <c r="D15" t="str">
        <f>VLOOKUP(C15,'Project Status'!C:H,6,FALSE)</f>
        <v>WYATT CENTER</v>
      </c>
      <c r="E15" t="str">
        <f>VLOOKUP(C15,'Project Status'!C:I,7,FALSE)</f>
        <v>Wyatt Center - Roof Replacement</v>
      </c>
      <c r="F15" t="s">
        <v>101</v>
      </c>
      <c r="G15" t="str">
        <f>VLOOKUP(C15,'Project Status'!C:K,9,FALSE)</f>
        <v>Ben Bedock</v>
      </c>
      <c r="H15" s="21">
        <f>VLOOKUP(C15,'Project Status'!C:Q,15,FALSE)</f>
        <v>1232681</v>
      </c>
      <c r="J15" s="176">
        <f t="shared" si="0"/>
        <v>1232681</v>
      </c>
      <c r="K15" s="213"/>
      <c r="L15" s="199"/>
    </row>
    <row r="16" spans="1:12" x14ac:dyDescent="0.4">
      <c r="A16" s="214"/>
      <c r="B16" s="109">
        <v>14</v>
      </c>
      <c r="C16">
        <v>20574</v>
      </c>
      <c r="D16" t="str">
        <f>VLOOKUP(C16,'Project Status'!C:H,6,FALSE)</f>
        <v>MRB III BIO/SCI</v>
      </c>
      <c r="E16" t="str">
        <f>VLOOKUP(C16,'Project Status'!C:I,7,FALSE)</f>
        <v>MRB III - Steam Coil Replacement</v>
      </c>
      <c r="F16" t="s">
        <v>101</v>
      </c>
      <c r="G16" t="str">
        <f>VLOOKUP(C16,'Project Status'!C:K,9,FALSE)</f>
        <v>Sean Rewers</v>
      </c>
      <c r="H16" s="21">
        <f>VLOOKUP(C16,'Project Status'!C:Q,15,FALSE)</f>
        <v>218202</v>
      </c>
      <c r="J16" s="176">
        <f t="shared" si="0"/>
        <v>218202</v>
      </c>
      <c r="K16" s="213"/>
      <c r="L16" s="199"/>
    </row>
    <row r="17" spans="1:12" x14ac:dyDescent="0.4">
      <c r="A17" s="214"/>
      <c r="B17" s="109">
        <v>15</v>
      </c>
      <c r="C17">
        <v>20577</v>
      </c>
      <c r="D17" t="str">
        <f>VLOOKUP(C17,'Project Status'!C:H,6,FALSE)</f>
        <v>BLAIR SCHOOL OF MUSIC</v>
      </c>
      <c r="E17" t="str">
        <f>VLOOKUP(C17,'Project Status'!C:I,7,FALSE)</f>
        <v>Blair School of Music - Air Handling Unit Replacement</v>
      </c>
      <c r="F17" t="s">
        <v>100</v>
      </c>
      <c r="G17" t="str">
        <f>VLOOKUP(C17,'Project Status'!C:K,9,FALSE)</f>
        <v>Hans Mooy</v>
      </c>
      <c r="H17" s="21">
        <f>VLOOKUP(C17,'Project Status'!C:Q,15,FALSE)</f>
        <v>223000</v>
      </c>
      <c r="J17" s="176">
        <f t="shared" si="0"/>
        <v>223000</v>
      </c>
      <c r="K17" s="213"/>
      <c r="L17" s="199"/>
    </row>
    <row r="18" spans="1:12" x14ac:dyDescent="0.4">
      <c r="A18" s="214"/>
      <c r="B18" s="109">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1">
        <f>VLOOKUP(C18,'Project Status'!C:Q,15,FALSE)</f>
        <v>630554</v>
      </c>
      <c r="J18" s="176">
        <f t="shared" si="0"/>
        <v>630554</v>
      </c>
      <c r="K18" s="213"/>
      <c r="L18" s="199"/>
    </row>
    <row r="19" spans="1:12" x14ac:dyDescent="0.4">
      <c r="A19" s="214"/>
      <c r="B19" s="109">
        <v>17</v>
      </c>
      <c r="C19">
        <v>20645</v>
      </c>
      <c r="D19" t="str">
        <f>VLOOKUP(C19,'Project Status'!C:H,6,FALSE)</f>
        <v>BENSON OLD CENTRAL</v>
      </c>
      <c r="E19" t="str">
        <f>VLOOKUP(C19,'Project Status'!C:I,7,FALSE)</f>
        <v>Benson Old Central - Replace Soffit and Doors</v>
      </c>
      <c r="F19" t="s">
        <v>181</v>
      </c>
      <c r="G19" t="str">
        <f>VLOOKUP(C19,'Project Status'!C:K,9,FALSE)</f>
        <v>Ben Bedock</v>
      </c>
      <c r="H19" s="21">
        <f>VLOOKUP(C19,'Project Status'!C:Q,15,FALSE)</f>
        <v>125875</v>
      </c>
      <c r="J19" s="176">
        <f t="shared" si="0"/>
        <v>125875</v>
      </c>
      <c r="K19" s="213"/>
      <c r="L19" s="199"/>
    </row>
    <row r="20" spans="1:12" x14ac:dyDescent="0.4">
      <c r="A20" s="214"/>
      <c r="B20" s="109">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1">
        <f>VLOOKUP(C20,'Project Status'!C:Q,15,FALSE)</f>
        <v>146500</v>
      </c>
      <c r="J20" s="176">
        <f t="shared" si="0"/>
        <v>146500</v>
      </c>
      <c r="K20" s="213"/>
      <c r="L20" s="199"/>
    </row>
    <row r="21" spans="1:12" x14ac:dyDescent="0.4">
      <c r="A21" s="214"/>
      <c r="B21" s="109">
        <v>19</v>
      </c>
      <c r="C21">
        <v>20668</v>
      </c>
      <c r="D21" t="str">
        <f>VLOOKUP(C21,'Project Status'!C:H,6,FALSE)</f>
        <v>KECK FREE ELECTRON LASER CTR</v>
      </c>
      <c r="E21" t="str">
        <f>VLOOKUP(C21,'Project Status'!C:I,7,FALSE)</f>
        <v>Keck FEL - Mechanical Upgrades</v>
      </c>
      <c r="F21" t="s">
        <v>100</v>
      </c>
      <c r="G21" t="str">
        <f>VLOOKUP(C21,'Project Status'!C:K,9,FALSE)</f>
        <v>Sean Rewers</v>
      </c>
      <c r="H21" s="21">
        <f>VLOOKUP(C21,'Project Status'!C:Q,15,FALSE)</f>
        <v>206500</v>
      </c>
      <c r="J21" s="176">
        <f t="shared" si="0"/>
        <v>206500</v>
      </c>
      <c r="K21" s="213"/>
      <c r="L21" s="199"/>
    </row>
    <row r="22" spans="1:12" x14ac:dyDescent="0.4">
      <c r="A22" s="214"/>
      <c r="B22" s="109">
        <v>20</v>
      </c>
      <c r="C22">
        <v>20698</v>
      </c>
      <c r="D22" t="str">
        <f>VLOOKUP(C22,'Project Status'!C:H,6,FALSE)</f>
        <v>WILSON HALL</v>
      </c>
      <c r="E22" t="str">
        <f>VLOOKUP(C22,'Project Status'!C:I,7,FALSE)</f>
        <v>Wilson Hall - Fire Alarm Replacement</v>
      </c>
      <c r="F22" t="s">
        <v>100</v>
      </c>
      <c r="G22" t="str">
        <f>VLOOKUP(C22,'Project Status'!C:K,9,FALSE)</f>
        <v>Sean Rewers</v>
      </c>
      <c r="H22" s="21">
        <f>VLOOKUP(C22,'Project Status'!C:Q,15,FALSE)</f>
        <v>29250</v>
      </c>
      <c r="J22" s="176">
        <f t="shared" si="0"/>
        <v>29250</v>
      </c>
      <c r="K22" s="213"/>
      <c r="L22" s="199"/>
    </row>
    <row r="23" spans="1:12" x14ac:dyDescent="0.4">
      <c r="A23" s="214"/>
      <c r="B23" s="109">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1">
        <f>VLOOKUP(C23,'Project Status'!C:Q,15,FALSE)</f>
        <v>79623</v>
      </c>
      <c r="J23" s="176">
        <f t="shared" si="0"/>
        <v>79623</v>
      </c>
      <c r="K23" s="213"/>
      <c r="L23" s="199"/>
    </row>
    <row r="24" spans="1:12" x14ac:dyDescent="0.4">
      <c r="A24" s="214"/>
      <c r="B24" s="109">
        <v>22</v>
      </c>
      <c r="C24">
        <v>20701</v>
      </c>
      <c r="D24" t="str">
        <f>VLOOKUP(C24,'Project Status'!C:H,6,FALSE)</f>
        <v>SC SCIENCE &amp; ENGINEERING</v>
      </c>
      <c r="E24" t="str">
        <f>VLOOKUP(C24,'Project Status'!C:I,7,FALSE)</f>
        <v>SC5 - Chemical Discharge Replacement</v>
      </c>
      <c r="F24" t="s">
        <v>181</v>
      </c>
      <c r="G24" t="str">
        <f>VLOOKUP(C24,'Project Status'!C:K,9,FALSE)</f>
        <v>Sean Rewers</v>
      </c>
      <c r="H24" s="21">
        <f>VLOOKUP(C24,'Project Status'!C:Q,15,FALSE)</f>
        <v>499093</v>
      </c>
      <c r="J24" s="176">
        <f t="shared" si="0"/>
        <v>499093</v>
      </c>
      <c r="K24" s="213"/>
      <c r="L24" s="199"/>
    </row>
    <row r="25" spans="1:12" x14ac:dyDescent="0.4">
      <c r="A25" s="214"/>
      <c r="B25" s="109">
        <v>23</v>
      </c>
      <c r="C25">
        <v>20702</v>
      </c>
      <c r="D25" t="str">
        <f>VLOOKUP(C25,'Project Status'!C:H,6,FALSE)</f>
        <v>WYATT CENTER</v>
      </c>
      <c r="E25" t="str">
        <f>VLOOKUP(C25,'Project Status'!C:I,7,FALSE)</f>
        <v>Wyatt Center - Elevator #2 Modernization</v>
      </c>
      <c r="F25" t="s">
        <v>101</v>
      </c>
      <c r="G25" t="str">
        <f>VLOOKUP(C25,'Project Status'!C:K,9,FALSE)</f>
        <v>Ben Bedock</v>
      </c>
      <c r="H25" s="21">
        <f>VLOOKUP(C25,'Project Status'!C:Q,15,FALSE)</f>
        <v>239341</v>
      </c>
      <c r="J25" s="176">
        <f t="shared" si="0"/>
        <v>239341</v>
      </c>
      <c r="K25" s="213"/>
      <c r="L25" s="199"/>
    </row>
    <row r="26" spans="1:12" x14ac:dyDescent="0.4">
      <c r="A26" s="214"/>
      <c r="B26" s="109">
        <v>24</v>
      </c>
      <c r="C26">
        <v>20718</v>
      </c>
      <c r="D26" t="str">
        <f>VLOOKUP(C26,'Project Status'!C:H,6,FALSE)</f>
        <v>BUTTRICK HALL</v>
      </c>
      <c r="E26" t="str">
        <f>VLOOKUP(C26,'Project Status'!C:I,7,FALSE)</f>
        <v>Buttrick Hall - 3rd Floor Inequality Renovations</v>
      </c>
      <c r="F26" t="s">
        <v>101</v>
      </c>
      <c r="G26" t="str">
        <f>VLOOKUP(C26,'Project Status'!C:K,9,FALSE)</f>
        <v>Erin Fry</v>
      </c>
      <c r="H26" s="21">
        <f>VLOOKUP(C26,'Project Status'!C:Q,15,FALSE)</f>
        <v>96166</v>
      </c>
      <c r="J26" s="176">
        <f t="shared" si="0"/>
        <v>96166</v>
      </c>
      <c r="K26" s="213"/>
      <c r="L26" s="199"/>
    </row>
    <row r="27" spans="1:12" x14ac:dyDescent="0.4">
      <c r="A27" s="214"/>
      <c r="B27" s="109">
        <v>25</v>
      </c>
      <c r="C27">
        <v>20723</v>
      </c>
      <c r="D27" t="str">
        <f>VLOOKUP(C27,'Project Status'!C:H,6,FALSE)</f>
        <v>MRB III BIO/SCI</v>
      </c>
      <c r="E27" t="str">
        <f>VLOOKUP(C27,'Project Status'!C:I,7,FALSE)</f>
        <v>MRB III - 9th Floor (with 4 ,5 &amp; 8) - Replace Controls (Phase 3)</v>
      </c>
      <c r="F27" t="s">
        <v>109</v>
      </c>
      <c r="G27" t="str">
        <f>VLOOKUP(C27,'Project Status'!C:K,9,FALSE)</f>
        <v>Hans Mooy</v>
      </c>
      <c r="H27" s="21">
        <f>VLOOKUP(C27,'Project Status'!C:Q,15,FALSE)</f>
        <v>160500</v>
      </c>
      <c r="J27" s="176">
        <f t="shared" si="0"/>
        <v>160500</v>
      </c>
      <c r="K27" s="213"/>
      <c r="L27" s="199"/>
    </row>
    <row r="28" spans="1:12" x14ac:dyDescent="0.4">
      <c r="A28" s="214"/>
      <c r="B28" s="109">
        <v>26</v>
      </c>
      <c r="C28">
        <v>20724</v>
      </c>
      <c r="D28" t="str">
        <f>VLOOKUP(C28,'Project Status'!C:H,6,FALSE)</f>
        <v>BLAIR SCHOOL OF MUSIC</v>
      </c>
      <c r="E28" t="str">
        <f>VLOOKUP(C28,'Project Status'!C:I,7,FALSE)</f>
        <v>Blair School of Music - Steam Line</v>
      </c>
      <c r="F28" t="s">
        <v>100</v>
      </c>
      <c r="G28" t="str">
        <f>VLOOKUP(C28,'Project Status'!C:K,9,FALSE)</f>
        <v>Hans Mooy</v>
      </c>
      <c r="H28" s="21">
        <f>VLOOKUP(C28,'Project Status'!C:Q,15,FALSE)</f>
        <v>23400</v>
      </c>
      <c r="J28" s="176">
        <f t="shared" si="0"/>
        <v>23400</v>
      </c>
      <c r="K28" s="213"/>
      <c r="L28" s="199"/>
    </row>
    <row r="29" spans="1:12" x14ac:dyDescent="0.4">
      <c r="A29" s="214"/>
      <c r="B29" s="109">
        <v>27</v>
      </c>
      <c r="C29">
        <v>20735</v>
      </c>
      <c r="D29" t="str">
        <f>VLOOKUP(C29,'Project Status'!C:H,6,FALSE)</f>
        <v>OWEN GRAD MGMT</v>
      </c>
      <c r="E29" t="str">
        <f>VLOOKUP(C29,'Project Status'!C:I,7,FALSE)</f>
        <v>Owen - Roof Replacement (Third Level)</v>
      </c>
      <c r="F29" t="s">
        <v>101</v>
      </c>
      <c r="G29" t="str">
        <f>VLOOKUP(C29,'Project Status'!C:K,9,FALSE)</f>
        <v>Ben Bedock</v>
      </c>
      <c r="H29" s="21">
        <f>VLOOKUP(C29,'Project Status'!C:Q,15,FALSE)</f>
        <v>300000</v>
      </c>
      <c r="J29" s="176">
        <f t="shared" si="0"/>
        <v>300000</v>
      </c>
      <c r="K29" s="213"/>
      <c r="L29" s="199"/>
    </row>
    <row r="30" spans="1:12" x14ac:dyDescent="0.4">
      <c r="A30" s="214"/>
      <c r="B30" s="109">
        <v>28</v>
      </c>
      <c r="C30">
        <v>20771</v>
      </c>
      <c r="D30" t="str">
        <f>VLOOKUP(C30,'Project Status'!C:H,6,FALSE)</f>
        <v>SC CHEMISTRY</v>
      </c>
      <c r="E30" t="str">
        <f>VLOOKUP(C30,'Project Status'!C:I,7,FALSE)</f>
        <v>SC4 - Interstitial Space HVAC Modifications</v>
      </c>
      <c r="F30" t="s">
        <v>101</v>
      </c>
      <c r="G30" t="str">
        <f>VLOOKUP(C30,'Project Status'!C:K,9,FALSE)</f>
        <v>Sean Rewers</v>
      </c>
      <c r="H30" s="21">
        <f>VLOOKUP(C30,'Project Status'!C:Q,15,FALSE)</f>
        <v>24997</v>
      </c>
      <c r="J30" s="176">
        <f t="shared" si="0"/>
        <v>24997</v>
      </c>
      <c r="K30" s="213"/>
      <c r="L30" s="199"/>
    </row>
    <row r="31" spans="1:12" x14ac:dyDescent="0.4">
      <c r="A31" s="214"/>
      <c r="B31" s="109">
        <v>29</v>
      </c>
      <c r="C31">
        <v>20792</v>
      </c>
      <c r="D31" t="str">
        <f>VLOOKUP(C31,'Project Status'!C:H,6,FALSE)</f>
        <v>LAW SCHOOL</v>
      </c>
      <c r="E31" t="str">
        <f>VLOOKUP(C31,'Project Status'!C:I,7,FALSE)</f>
        <v>Law School - Sections 1, 2, &amp; 3  Roof Replacement</v>
      </c>
      <c r="F31" t="s">
        <v>181</v>
      </c>
      <c r="G31" t="str">
        <f>VLOOKUP(C31,'Project Status'!C:K,9,FALSE)</f>
        <v>Ben Bedock</v>
      </c>
      <c r="H31" s="21">
        <f>VLOOKUP(C31,'Project Status'!C:Q,15,FALSE)</f>
        <v>483440</v>
      </c>
      <c r="J31" s="176">
        <f t="shared" si="0"/>
        <v>483440</v>
      </c>
      <c r="K31" s="213"/>
      <c r="L31" s="199"/>
    </row>
    <row r="32" spans="1:12" x14ac:dyDescent="0.4">
      <c r="H32" s="179">
        <f t="shared" ref="H32:I32" si="1">SUM(H3:H31)</f>
        <v>8797286.2599999998</v>
      </c>
      <c r="I32" s="179">
        <f t="shared" si="1"/>
        <v>0</v>
      </c>
      <c r="J32" s="179">
        <f>SUM(J3:J31)</f>
        <v>8797286.2599999998</v>
      </c>
      <c r="K32" s="213"/>
      <c r="L32" s="179">
        <f>K3-J32</f>
        <v>567212.74000000022</v>
      </c>
    </row>
    <row r="34" spans="1:14" x14ac:dyDescent="0.4">
      <c r="A34" s="215" t="s">
        <v>305</v>
      </c>
      <c r="B34" s="180"/>
      <c r="C34" s="180" t="s">
        <v>127</v>
      </c>
      <c r="D34" s="180" t="s">
        <v>114</v>
      </c>
      <c r="E34" s="180" t="s">
        <v>87</v>
      </c>
      <c r="F34" s="180" t="s">
        <v>130</v>
      </c>
      <c r="G34" s="180" t="s">
        <v>131</v>
      </c>
      <c r="H34" s="181" t="s">
        <v>263</v>
      </c>
      <c r="I34" s="181" t="s">
        <v>304</v>
      </c>
      <c r="J34" s="193" t="s">
        <v>303</v>
      </c>
      <c r="K34" s="189" t="s">
        <v>306</v>
      </c>
      <c r="L34" s="192" t="s">
        <v>264</v>
      </c>
    </row>
    <row r="35" spans="1:14" ht="14.7" customHeight="1" x14ac:dyDescent="0.4">
      <c r="A35" s="215"/>
      <c r="B35" s="109">
        <v>1</v>
      </c>
      <c r="C35">
        <v>10146</v>
      </c>
      <c r="D35" t="str">
        <f>VLOOKUP(C35,'Project Status'!C:H,6,FALSE)</f>
        <v>Godchaux Hall</v>
      </c>
      <c r="E35" t="str">
        <f>VLOOKUP(C35,'Project Status'!C:I,7,FALSE)</f>
        <v>Godchaux Hall - HVAC Upgrade</v>
      </c>
      <c r="F35" t="str">
        <f>VLOOKUP(C35,'Project Status'!C:J,8,FALSE)</f>
        <v>Design</v>
      </c>
      <c r="G35" t="str">
        <f>VLOOKUP(C35,'Project Status'!C:K,9,FALSE)</f>
        <v>Sean Rewers</v>
      </c>
      <c r="H35" s="21">
        <f>VLOOKUP(C35,'Project Status'!C:R,16,FALSE)</f>
        <v>0</v>
      </c>
      <c r="I35" s="183" t="str">
        <f>VLOOKUP(C35,'Project Status'!C:S,17,FALSE)</f>
        <v>TBD</v>
      </c>
      <c r="J35" s="184" t="str">
        <f>IF(I35="TBD",I35,SUM(H35:I35))</f>
        <v>TBD</v>
      </c>
      <c r="K35" s="217">
        <f>Contributions!G14</f>
        <v>11029283.289999999</v>
      </c>
      <c r="L35" s="198"/>
    </row>
    <row r="36" spans="1:14" x14ac:dyDescent="0.4">
      <c r="A36" s="215"/>
      <c r="B36" s="109">
        <v>2</v>
      </c>
      <c r="C36">
        <v>20431</v>
      </c>
      <c r="D36" t="str">
        <f>VLOOKUP(C36,'Project Status'!C:H,6,FALSE)</f>
        <v>DIVINITY</v>
      </c>
      <c r="E36" t="str">
        <f>VLOOKUP(C36,'Project Status'!C:I,7,FALSE)</f>
        <v>Divinity - AHU 5N (5 &amp; 6) Replacement</v>
      </c>
      <c r="F36" t="str">
        <f>VLOOKUP(C36,'Project Status'!C:J,8,FALSE)</f>
        <v>Construction</v>
      </c>
      <c r="G36" t="str">
        <f>VLOOKUP(C36,'Project Status'!C:K,9,FALSE)</f>
        <v>Hans Mooy</v>
      </c>
      <c r="H36" s="21">
        <f>VLOOKUP(C36,'Project Status'!C:R,16,FALSE)</f>
        <v>0</v>
      </c>
      <c r="I36" s="183">
        <f>VLOOKUP(C36,'Project Status'!C:S,17,FALSE)</f>
        <v>3730137.5</v>
      </c>
      <c r="J36" s="184">
        <f t="shared" ref="J36:J44" si="2">IF(I36="TBD",I36,SUM(H36:I36))</f>
        <v>3730137.5</v>
      </c>
      <c r="K36" s="217"/>
      <c r="L36" s="198"/>
    </row>
    <row r="37" spans="1:14" x14ac:dyDescent="0.4">
      <c r="A37" s="215"/>
      <c r="B37" s="109">
        <v>3</v>
      </c>
      <c r="C37">
        <v>20478</v>
      </c>
      <c r="D37" t="str">
        <f>VLOOKUP(C37,'Project Status'!C:H,6,FALSE)</f>
        <v>BRYAN BLDG</v>
      </c>
      <c r="E37" t="str">
        <f>VLOOKUP(C37,'Project Status'!C:I,7,FALSE)</f>
        <v>Bryan Building - Swing Space Renovation - A&amp;S Planning</v>
      </c>
      <c r="F37" t="str">
        <f>VLOOKUP(C37,'Project Status'!C:J,8,FALSE)</f>
        <v>Construction</v>
      </c>
      <c r="G37" t="str">
        <f>VLOOKUP(C37,'Project Status'!C:K,9,FALSE)</f>
        <v>Cathy Bartlett</v>
      </c>
      <c r="H37" s="21">
        <f>VLOOKUP(C37,'Project Status'!C:R,16,FALSE)</f>
        <v>1028900</v>
      </c>
      <c r="I37" s="183">
        <f>VLOOKUP(C37,'Project Status'!C:S,17,FALSE)</f>
        <v>0</v>
      </c>
      <c r="J37" s="184">
        <f t="shared" si="2"/>
        <v>1028900</v>
      </c>
      <c r="K37" s="217"/>
      <c r="L37" s="198"/>
    </row>
    <row r="38" spans="1:14" x14ac:dyDescent="0.4">
      <c r="A38" s="215"/>
      <c r="B38" s="109">
        <v>4</v>
      </c>
      <c r="C38">
        <v>20667</v>
      </c>
      <c r="D38" t="str">
        <f>VLOOKUP(C38,'Project Status'!C:H,6,FALSE)</f>
        <v>1025 16TH AVE S</v>
      </c>
      <c r="E38" t="str">
        <f>VLOOKUP(C38,'Project Status'!C:I,7,FALSE)</f>
        <v>1025 16th Avenue - Mechanical and Electrical Upgrades</v>
      </c>
      <c r="F38" t="str">
        <f>VLOOKUP(C38,'Project Status'!C:J,8,FALSE)</f>
        <v>Design</v>
      </c>
      <c r="G38" t="str">
        <f>VLOOKUP(C38,'Project Status'!C:K,9,FALSE)</f>
        <v>Sean Rewers</v>
      </c>
      <c r="H38" s="21">
        <f>VLOOKUP(C38,'Project Status'!C:R,16,FALSE)</f>
        <v>0</v>
      </c>
      <c r="I38" s="183">
        <f>VLOOKUP(C38,'Project Status'!C:S,17,FALSE)</f>
        <v>35000</v>
      </c>
      <c r="J38" s="184">
        <f t="shared" si="2"/>
        <v>35000</v>
      </c>
      <c r="K38" s="217"/>
      <c r="L38" s="198"/>
    </row>
    <row r="39" spans="1:14" x14ac:dyDescent="0.4">
      <c r="A39" s="215"/>
      <c r="B39" s="109">
        <v>5</v>
      </c>
      <c r="C39">
        <v>20668</v>
      </c>
      <c r="D39" t="str">
        <f>VLOOKUP(C39,'Project Status'!C:H,6,FALSE)</f>
        <v>KECK FREE ELECTRON LASER CTR</v>
      </c>
      <c r="E39" t="str">
        <f>VLOOKUP(C39,'Project Status'!C:I,7,FALSE)</f>
        <v>Keck FEL - Mechanical Upgrades</v>
      </c>
      <c r="F39" t="str">
        <f>VLOOKUP(C39,'Project Status'!C:J,8,FALSE)</f>
        <v>Design</v>
      </c>
      <c r="G39" t="str">
        <f>VLOOKUP(C39,'Project Status'!C:K,9,FALSE)</f>
        <v>Sean Rewers</v>
      </c>
      <c r="H39" s="21">
        <f>VLOOKUP(C39,'Project Status'!C:R,16,FALSE)</f>
        <v>0</v>
      </c>
      <c r="I39" s="183">
        <f>VLOOKUP(C39,'Project Status'!C:S,17,FALSE)</f>
        <v>35000</v>
      </c>
      <c r="J39" s="184">
        <f t="shared" si="2"/>
        <v>35000</v>
      </c>
      <c r="K39" s="217"/>
      <c r="L39" s="198"/>
    </row>
    <row r="40" spans="1:14" x14ac:dyDescent="0.4">
      <c r="A40" s="215"/>
      <c r="B40" s="109">
        <v>6</v>
      </c>
      <c r="C40">
        <v>20698</v>
      </c>
      <c r="D40" t="str">
        <f>VLOOKUP(C40,'Project Status'!C:H,6,FALSE)</f>
        <v>WILSON HALL</v>
      </c>
      <c r="E40" t="str">
        <f>VLOOKUP(C40,'Project Status'!C:I,7,FALSE)</f>
        <v>Wilson Hall - Fire Alarm Replacement</v>
      </c>
      <c r="F40" t="str">
        <f>VLOOKUP(C40,'Project Status'!C:J,8,FALSE)</f>
        <v>Design</v>
      </c>
      <c r="G40" t="str">
        <f>VLOOKUP(C40,'Project Status'!C:K,9,FALSE)</f>
        <v>Sean Rewers</v>
      </c>
      <c r="H40" s="21">
        <f>VLOOKUP(C40,'Project Status'!C:R,16,FALSE)</f>
        <v>0</v>
      </c>
      <c r="I40" s="183" t="str">
        <f>VLOOKUP(C40,'Project Status'!C:S,17,FALSE)</f>
        <v>TBD</v>
      </c>
      <c r="J40" s="184" t="str">
        <f t="shared" si="2"/>
        <v>TBD</v>
      </c>
      <c r="K40" s="217"/>
      <c r="L40" s="198"/>
    </row>
    <row r="41" spans="1:14" x14ac:dyDescent="0.4">
      <c r="A41" s="215"/>
      <c r="B41" s="109">
        <v>7</v>
      </c>
      <c r="C41">
        <v>20723</v>
      </c>
      <c r="D41" t="str">
        <f>VLOOKUP(C41,'Project Status'!C:H,6,FALSE)</f>
        <v>MRB III BIO/SCI</v>
      </c>
      <c r="E41" t="str">
        <f>VLOOKUP(C41,'Project Status'!C:I,7,FALSE)</f>
        <v>MRB III - 9th Floor (with 4 ,5 &amp; 8) - Replace Controls (Phase 3)</v>
      </c>
      <c r="F41" t="str">
        <f>VLOOKUP(C41,'Project Status'!C:J,8,FALSE)</f>
        <v>Bidding</v>
      </c>
      <c r="G41" t="str">
        <f>VLOOKUP(C41,'Project Status'!C:K,9,FALSE)</f>
        <v>Hans Mooy</v>
      </c>
      <c r="H41" s="21">
        <f>VLOOKUP(C41,'Project Status'!C:R,16,FALSE)</f>
        <v>0</v>
      </c>
      <c r="I41" s="183">
        <f>VLOOKUP(C41,'Project Status'!C:S,17,FALSE)</f>
        <v>1439500</v>
      </c>
      <c r="J41" s="184">
        <f t="shared" si="2"/>
        <v>1439500</v>
      </c>
      <c r="K41" s="217"/>
      <c r="L41" s="198"/>
    </row>
    <row r="42" spans="1:14" x14ac:dyDescent="0.4">
      <c r="A42" s="215"/>
      <c r="B42" s="109">
        <v>8</v>
      </c>
      <c r="C42">
        <v>20724</v>
      </c>
      <c r="D42" t="str">
        <f>VLOOKUP(C42,'Project Status'!C:H,6,FALSE)</f>
        <v>BLAIR SCHOOL OF MUSIC</v>
      </c>
      <c r="E42" t="str">
        <f>VLOOKUP(C42,'Project Status'!C:I,7,FALSE)</f>
        <v>Blair School of Music - Steam Line</v>
      </c>
      <c r="F42" t="str">
        <f>VLOOKUP(C42,'Project Status'!C:J,8,FALSE)</f>
        <v>Bidding</v>
      </c>
      <c r="G42" t="str">
        <f>VLOOKUP(C42,'Project Status'!C:K,9,FALSE)</f>
        <v>Hans Mooy</v>
      </c>
      <c r="H42" s="21">
        <f>VLOOKUP(C42,'Project Status'!C:R,16,FALSE)</f>
        <v>0</v>
      </c>
      <c r="I42" s="183">
        <f>VLOOKUP(C42,'Project Status'!C:S,17,FALSE)</f>
        <v>1476600</v>
      </c>
      <c r="J42" s="184">
        <f t="shared" si="2"/>
        <v>1476600</v>
      </c>
      <c r="K42" s="217"/>
      <c r="L42" s="198"/>
    </row>
    <row r="43" spans="1:14" x14ac:dyDescent="0.4">
      <c r="A43" s="215"/>
      <c r="B43" s="109">
        <v>9</v>
      </c>
      <c r="C43">
        <v>20767</v>
      </c>
      <c r="D43" t="str">
        <f>VLOOKUP(C43,'Project Status'!C:H,6,FALSE)</f>
        <v>SIX MAGNOLIA CIRCLE</v>
      </c>
      <c r="E43" t="str">
        <f>VLOOKUP(C43,'Project Status'!C:I,7,FALSE)</f>
        <v>Six Magnolia Circle - Foundation Repairs</v>
      </c>
      <c r="F43" t="str">
        <f>VLOOKUP(C43,'Project Status'!C:J,8,FALSE)</f>
        <v>Design</v>
      </c>
      <c r="G43" t="str">
        <f>VLOOKUP(C43,'Project Status'!C:K,9,FALSE)</f>
        <v>Sean Rewers</v>
      </c>
      <c r="H43" s="21">
        <f>VLOOKUP(C43,'Project Status'!C:R,16,FALSE)</f>
        <v>0</v>
      </c>
      <c r="I43" s="183">
        <f>VLOOKUP(C43,'Project Status'!C:S,17,FALSE)</f>
        <v>35000</v>
      </c>
      <c r="J43" s="184">
        <f t="shared" si="2"/>
        <v>35000</v>
      </c>
      <c r="K43" s="217"/>
      <c r="L43" s="198"/>
      <c r="N43" s="176"/>
    </row>
    <row r="44" spans="1:14" x14ac:dyDescent="0.4">
      <c r="A44" s="215"/>
      <c r="B44" s="109">
        <v>10</v>
      </c>
      <c r="C44">
        <v>20772</v>
      </c>
      <c r="D44" t="str">
        <f>VLOOKUP(C44,'Project Status'!C:H,6,FALSE)</f>
        <v>OWEN GRAD MGMT</v>
      </c>
      <c r="E44" t="str">
        <f>VLOOKUP(C44,'Project Status'!C:I,7,FALSE)</f>
        <v>Owen - Roof Replacement (Slate Portion)</v>
      </c>
      <c r="F44" t="str">
        <f>VLOOKUP(C44,'Project Status'!C:J,8,FALSE)</f>
        <v>Programming or Planning</v>
      </c>
      <c r="G44" t="str">
        <f>VLOOKUP(C44,'Project Status'!C:K,9,FALSE)</f>
        <v>Ben Bedock</v>
      </c>
      <c r="H44" s="21">
        <f>VLOOKUP(C44,'Project Status'!C:R,16,FALSE)</f>
        <v>0</v>
      </c>
      <c r="I44" s="183" t="str">
        <f>VLOOKUP(C44,'Project Status'!C:S,17,FALSE)</f>
        <v>TBD</v>
      </c>
      <c r="J44" s="184" t="str">
        <f t="shared" si="2"/>
        <v>TBD</v>
      </c>
      <c r="K44" s="217"/>
      <c r="L44" s="198"/>
    </row>
    <row r="45" spans="1:14" x14ac:dyDescent="0.4">
      <c r="A45" s="215"/>
      <c r="B45" s="109">
        <v>11</v>
      </c>
      <c r="C45">
        <v>20832</v>
      </c>
      <c r="D45" t="str">
        <f>VLOOKUP(C45,'Project Status'!C:H,6,FALSE)</f>
        <v>WILSON HALL</v>
      </c>
      <c r="E45" t="str">
        <f>VLOOKUP(C45,'Project Status'!C:I,7,FALSE)</f>
        <v>Wilson Hall - HVAC Replacement</v>
      </c>
      <c r="F45" t="str">
        <f>VLOOKUP(C45,'Project Status'!C:J,8,FALSE)</f>
        <v>Not Started</v>
      </c>
      <c r="G45" t="str">
        <f>VLOOKUP(C45,'Project Status'!C:K,9,FALSE)</f>
        <v>Sean Rewers</v>
      </c>
      <c r="H45" s="21">
        <f>VLOOKUP(C45,'Project Status'!C:R,16,FALSE)</f>
        <v>0</v>
      </c>
      <c r="I45" s="183">
        <f>VLOOKUP(C45,'Project Status'!C:S,17,FALSE)</f>
        <v>0</v>
      </c>
      <c r="J45" s="184">
        <f t="shared" ref="J45:J46" si="3">IF(I45="TBD",I45,SUM(H45:I45))</f>
        <v>0</v>
      </c>
      <c r="K45" s="217"/>
      <c r="L45" s="198"/>
    </row>
    <row r="46" spans="1:14" x14ac:dyDescent="0.4">
      <c r="A46" s="215"/>
      <c r="B46" s="109">
        <v>12</v>
      </c>
      <c r="C46">
        <v>20833</v>
      </c>
      <c r="D46" t="str">
        <f>VLOOKUP(C46,'Project Status'!C:H,6,FALSE)</f>
        <v>SC SCIENCE &amp; ENGINEERING</v>
      </c>
      <c r="E46" t="str">
        <f>VLOOKUP(C46,'Project Status'!C:I,7,FALSE)</f>
        <v>SC5 - HVAC Replacement</v>
      </c>
      <c r="F46" t="str">
        <f>VLOOKUP(C46,'Project Status'!C:J,8,FALSE)</f>
        <v>Not Started</v>
      </c>
      <c r="G46" t="str">
        <f>VLOOKUP(C46,'Project Status'!C:K,9,FALSE)</f>
        <v>Sean Rewers</v>
      </c>
      <c r="H46" s="21">
        <f>VLOOKUP(C46,'Project Status'!C:R,16,FALSE)</f>
        <v>0</v>
      </c>
      <c r="I46" s="183">
        <f>VLOOKUP(C46,'Project Status'!C:S,17,FALSE)</f>
        <v>0</v>
      </c>
      <c r="J46" s="184">
        <f t="shared" si="3"/>
        <v>0</v>
      </c>
      <c r="K46" s="217"/>
      <c r="L46" s="198"/>
    </row>
    <row r="47" spans="1:14" x14ac:dyDescent="0.4">
      <c r="A47" s="215"/>
      <c r="J47" s="176"/>
      <c r="K47" s="217"/>
      <c r="L47" s="198"/>
    </row>
    <row r="48" spans="1:14" x14ac:dyDescent="0.4">
      <c r="A48" s="215"/>
      <c r="J48" s="176"/>
      <c r="K48" s="217"/>
      <c r="L48" s="198"/>
    </row>
    <row r="49" spans="1:12" x14ac:dyDescent="0.4">
      <c r="A49" s="215"/>
      <c r="J49" s="176"/>
      <c r="K49" s="217"/>
      <c r="L49" s="198"/>
    </row>
    <row r="50" spans="1:12" x14ac:dyDescent="0.4">
      <c r="A50" s="215"/>
      <c r="J50" s="176"/>
      <c r="K50" s="217"/>
      <c r="L50" s="198"/>
    </row>
    <row r="51" spans="1:12" x14ac:dyDescent="0.4">
      <c r="A51" s="215"/>
      <c r="J51" s="176"/>
      <c r="K51" s="217"/>
      <c r="L51" s="198"/>
    </row>
    <row r="52" spans="1:12" x14ac:dyDescent="0.4">
      <c r="A52" s="215"/>
      <c r="J52" s="176"/>
      <c r="K52" s="217"/>
      <c r="L52" s="198"/>
    </row>
    <row r="53" spans="1:12" x14ac:dyDescent="0.4">
      <c r="A53" s="215"/>
      <c r="J53" s="176"/>
      <c r="K53" s="217"/>
      <c r="L53" s="198"/>
    </row>
    <row r="54" spans="1:12" x14ac:dyDescent="0.4">
      <c r="A54" s="215"/>
      <c r="J54" s="176"/>
      <c r="K54" s="218" t="s">
        <v>327</v>
      </c>
      <c r="L54" s="198"/>
    </row>
    <row r="55" spans="1:12" x14ac:dyDescent="0.4">
      <c r="A55" s="215"/>
      <c r="J55" s="176"/>
      <c r="K55" s="218"/>
      <c r="L55" s="198"/>
    </row>
    <row r="56" spans="1:12" x14ac:dyDescent="0.4">
      <c r="A56" s="215"/>
      <c r="J56" s="176"/>
      <c r="K56" s="206">
        <f>L32</f>
        <v>567212.74000000022</v>
      </c>
      <c r="L56" s="198"/>
    </row>
    <row r="57" spans="1:12" x14ac:dyDescent="0.4">
      <c r="A57" s="215"/>
      <c r="J57" s="176"/>
      <c r="K57" s="206"/>
      <c r="L57" s="198"/>
    </row>
    <row r="58" spans="1:12" x14ac:dyDescent="0.4">
      <c r="A58" s="215"/>
      <c r="J58" s="176"/>
      <c r="K58" s="218" t="s">
        <v>328</v>
      </c>
      <c r="L58" s="198"/>
    </row>
    <row r="59" spans="1:12" x14ac:dyDescent="0.4">
      <c r="A59" s="215"/>
      <c r="J59" s="176"/>
      <c r="K59" s="218"/>
      <c r="L59" s="198"/>
    </row>
    <row r="60" spans="1:12" x14ac:dyDescent="0.4">
      <c r="H60" s="182">
        <f>SUM(H35:H59)</f>
        <v>1028900</v>
      </c>
      <c r="I60" s="182">
        <f>SUM(I35:I59)</f>
        <v>6751237.5</v>
      </c>
      <c r="J60" s="182">
        <f>SUM(J35:J59)</f>
        <v>7780137.5</v>
      </c>
      <c r="K60" s="206">
        <f>K35+K56</f>
        <v>11596496.029999999</v>
      </c>
      <c r="L60" s="182">
        <f>K60-J60</f>
        <v>3816358.5299999993</v>
      </c>
    </row>
    <row r="62" spans="1:12" x14ac:dyDescent="0.4">
      <c r="A62" s="216" t="s">
        <v>307</v>
      </c>
      <c r="B62" s="186"/>
      <c r="C62" s="186" t="s">
        <v>127</v>
      </c>
      <c r="D62" s="186" t="s">
        <v>114</v>
      </c>
      <c r="E62" s="186" t="s">
        <v>87</v>
      </c>
      <c r="F62" s="186" t="s">
        <v>130</v>
      </c>
      <c r="G62" s="186" t="s">
        <v>131</v>
      </c>
      <c r="H62" s="187" t="s">
        <v>263</v>
      </c>
      <c r="I62" s="187" t="s">
        <v>304</v>
      </c>
      <c r="J62" s="196" t="s">
        <v>303</v>
      </c>
      <c r="K62" s="190" t="s">
        <v>306</v>
      </c>
      <c r="L62" s="197" t="s">
        <v>264</v>
      </c>
    </row>
    <row r="63" spans="1:12" ht="14.7" customHeight="1" x14ac:dyDescent="0.4">
      <c r="A63" s="216"/>
      <c r="B63" s="109">
        <v>1</v>
      </c>
      <c r="C63">
        <v>10146</v>
      </c>
      <c r="D63" t="str">
        <f>VLOOKUP(C63,'Project Status'!C:H,6,FALSE)</f>
        <v>Godchaux Hall</v>
      </c>
      <c r="E63" t="str">
        <f>VLOOKUP(C63,'Project Status'!C:I,7,FALSE)</f>
        <v>Godchaux Hall - HVAC Upgrade</v>
      </c>
      <c r="F63" t="str">
        <f>VLOOKUP(C63,'Project Status'!C:J,8,FALSE)</f>
        <v>Design</v>
      </c>
      <c r="G63" t="str">
        <f>VLOOKUP(C63,'Project Status'!C:K,9,FALSE)</f>
        <v>Sean Rewers</v>
      </c>
      <c r="I63" s="183" t="str">
        <f>VLOOKUP(C63,'Project Status'!C:U,19,FALSE)</f>
        <v>TBD</v>
      </c>
      <c r="J63" s="184" t="str">
        <f>IF(I63="TBD",I63,SUM(H63:I63))</f>
        <v>TBD</v>
      </c>
      <c r="K63" s="220">
        <f>Contributions!G38</f>
        <v>0</v>
      </c>
      <c r="L63" s="200"/>
    </row>
    <row r="64" spans="1:12" x14ac:dyDescent="0.4">
      <c r="A64" s="216"/>
      <c r="B64" s="109">
        <v>2</v>
      </c>
      <c r="C64">
        <v>20489</v>
      </c>
      <c r="D64" t="str">
        <f>VLOOKUP(C64,'Project Status'!C:H,6,FALSE)</f>
        <v>DIVINITY</v>
      </c>
      <c r="E64" t="str">
        <f>VLOOKUP(C64,'Project Status'!C:I,7,FALSE)</f>
        <v>Divinity - AHU 1N (1&amp;3) Replacement with Benton</v>
      </c>
      <c r="F64" t="str">
        <f>VLOOKUP(C64,'Project Status'!C:J,8,FALSE)</f>
        <v>Design</v>
      </c>
      <c r="G64" t="str">
        <f>VLOOKUP(C64,'Project Status'!C:K,9,FALSE)</f>
        <v>Hans Mooy</v>
      </c>
      <c r="I64" s="183" t="str">
        <f>VLOOKUP(C64,'Project Status'!C:U,19,FALSE)</f>
        <v>TBD</v>
      </c>
      <c r="J64" s="184" t="str">
        <f t="shared" ref="J64:J66" si="4">IF(I64="TBD",I64,SUM(H64:I64))</f>
        <v>TBD</v>
      </c>
      <c r="K64" s="220"/>
      <c r="L64" s="200"/>
    </row>
    <row r="65" spans="1:12" x14ac:dyDescent="0.4">
      <c r="A65" s="216"/>
      <c r="B65" s="109">
        <v>3</v>
      </c>
      <c r="C65">
        <v>20563</v>
      </c>
      <c r="D65" t="str">
        <f>VLOOKUP(C65,'Project Status'!C:H,6,FALSE)</f>
        <v>KECK FREE ELECTRON LASER CTR</v>
      </c>
      <c r="E65" t="str">
        <f>VLOOKUP(C65,'Project Status'!C:I,7,FALSE)</f>
        <v>Keck FEL - Roof Replacement</v>
      </c>
      <c r="F65" t="str">
        <f>VLOOKUP(C65,'Project Status'!C:J,8,FALSE)</f>
        <v>Not Started</v>
      </c>
      <c r="G65" t="str">
        <f>VLOOKUP(C65,'Project Status'!C:K,9,FALSE)</f>
        <v>Ben Bedock</v>
      </c>
      <c r="I65" s="183" t="str">
        <f>VLOOKUP(C65,'Project Status'!C:U,19,FALSE)</f>
        <v>TBD</v>
      </c>
      <c r="J65" s="184" t="str">
        <f t="shared" si="4"/>
        <v>TBD</v>
      </c>
      <c r="K65" s="220"/>
      <c r="L65" s="200"/>
    </row>
    <row r="66" spans="1:12" x14ac:dyDescent="0.4">
      <c r="A66" s="216"/>
      <c r="B66" s="109">
        <v>4</v>
      </c>
      <c r="C66">
        <v>20577</v>
      </c>
      <c r="D66" t="str">
        <f>VLOOKUP(C66,'Project Status'!C:H,6,FALSE)</f>
        <v>BLAIR SCHOOL OF MUSIC</v>
      </c>
      <c r="E66" t="str">
        <f>VLOOKUP(C66,'Project Status'!C:I,7,FALSE)</f>
        <v>Blair School of Music - Air Handling Unit Replacement</v>
      </c>
      <c r="F66" t="str">
        <f>VLOOKUP(C66,'Project Status'!C:J,8,FALSE)</f>
        <v>Design</v>
      </c>
      <c r="G66" t="str">
        <f>VLOOKUP(C66,'Project Status'!C:K,9,FALSE)</f>
        <v>Hans Mooy</v>
      </c>
      <c r="I66" s="183" t="str">
        <f>VLOOKUP(C66,'Project Status'!C:U,19,FALSE)</f>
        <v>TBD</v>
      </c>
      <c r="J66" s="184" t="str">
        <f t="shared" si="4"/>
        <v>TBD</v>
      </c>
      <c r="K66" s="220"/>
      <c r="L66" s="200"/>
    </row>
    <row r="67" spans="1:12" x14ac:dyDescent="0.4">
      <c r="A67" s="216"/>
      <c r="I67" s="183"/>
      <c r="J67" s="184"/>
      <c r="K67" s="220"/>
      <c r="L67" s="200"/>
    </row>
    <row r="68" spans="1:12" x14ac:dyDescent="0.4">
      <c r="A68" s="216"/>
      <c r="I68" s="183"/>
      <c r="J68" s="184"/>
      <c r="K68" s="220"/>
      <c r="L68" s="200"/>
    </row>
    <row r="69" spans="1:12" x14ac:dyDescent="0.4">
      <c r="A69" s="216"/>
      <c r="I69" s="183"/>
      <c r="J69" s="184"/>
      <c r="K69" s="220"/>
      <c r="L69" s="200"/>
    </row>
    <row r="70" spans="1:12" x14ac:dyDescent="0.4">
      <c r="A70" s="216"/>
      <c r="I70" s="183"/>
      <c r="J70" s="184"/>
      <c r="K70" s="220"/>
      <c r="L70" s="200"/>
    </row>
    <row r="71" spans="1:12" x14ac:dyDescent="0.4">
      <c r="A71" s="216"/>
      <c r="I71" s="183"/>
      <c r="J71" s="184"/>
      <c r="K71" s="220"/>
      <c r="L71" s="200"/>
    </row>
    <row r="72" spans="1:12" x14ac:dyDescent="0.4">
      <c r="A72" s="216"/>
      <c r="I72" s="183"/>
      <c r="J72" s="184"/>
      <c r="K72" s="220"/>
      <c r="L72" s="200"/>
    </row>
    <row r="73" spans="1:12" x14ac:dyDescent="0.4">
      <c r="A73" s="216"/>
      <c r="J73" s="176"/>
      <c r="K73" s="220"/>
      <c r="L73" s="200"/>
    </row>
    <row r="74" spans="1:12" x14ac:dyDescent="0.4">
      <c r="A74" s="216"/>
      <c r="J74" s="176"/>
      <c r="K74" s="220"/>
      <c r="L74" s="200"/>
    </row>
    <row r="75" spans="1:12" x14ac:dyDescent="0.4">
      <c r="A75" s="216"/>
      <c r="J75" s="176"/>
      <c r="K75" s="220"/>
      <c r="L75" s="200"/>
    </row>
    <row r="76" spans="1:12" x14ac:dyDescent="0.4">
      <c r="A76" s="216"/>
      <c r="J76" s="176"/>
      <c r="K76" s="220"/>
      <c r="L76" s="200"/>
    </row>
    <row r="77" spans="1:12" x14ac:dyDescent="0.4">
      <c r="A77" s="216"/>
      <c r="J77" s="176"/>
      <c r="K77" s="220"/>
      <c r="L77" s="200"/>
    </row>
    <row r="78" spans="1:12" x14ac:dyDescent="0.4">
      <c r="A78" s="216"/>
      <c r="J78" s="176"/>
      <c r="K78" s="219" t="s">
        <v>327</v>
      </c>
      <c r="L78" s="200"/>
    </row>
    <row r="79" spans="1:12" x14ac:dyDescent="0.4">
      <c r="A79" s="216"/>
      <c r="J79" s="176"/>
      <c r="K79" s="219"/>
      <c r="L79" s="200"/>
    </row>
    <row r="80" spans="1:12" x14ac:dyDescent="0.4">
      <c r="A80" s="216"/>
      <c r="J80" s="176"/>
      <c r="K80" s="208">
        <v>0</v>
      </c>
      <c r="L80" s="200"/>
    </row>
    <row r="81" spans="1:12" x14ac:dyDescent="0.4">
      <c r="A81" s="216"/>
      <c r="J81" s="176"/>
      <c r="K81" s="208"/>
      <c r="L81" s="200"/>
    </row>
    <row r="82" spans="1:12" x14ac:dyDescent="0.4">
      <c r="A82" s="216"/>
      <c r="J82" s="176"/>
      <c r="K82" s="219" t="s">
        <v>328</v>
      </c>
      <c r="L82" s="200"/>
    </row>
    <row r="83" spans="1:12" x14ac:dyDescent="0.4">
      <c r="A83" s="216"/>
      <c r="J83" s="176"/>
      <c r="K83" s="219"/>
      <c r="L83" s="200"/>
    </row>
    <row r="84" spans="1:12" x14ac:dyDescent="0.4">
      <c r="H84" s="185">
        <f t="shared" ref="H84" si="5">SUM(H63:H83)</f>
        <v>0</v>
      </c>
      <c r="I84" s="185">
        <f t="shared" ref="I84" si="6">SUM(I63:I83)</f>
        <v>0</v>
      </c>
      <c r="J84" s="185">
        <f>SUM(J63:J83)</f>
        <v>0</v>
      </c>
      <c r="K84" s="207"/>
      <c r="L84" s="185">
        <f>K63-J84</f>
        <v>0</v>
      </c>
    </row>
  </sheetData>
  <mergeCells count="10">
    <mergeCell ref="K3:K32"/>
    <mergeCell ref="A2:A31"/>
    <mergeCell ref="A34:A59"/>
    <mergeCell ref="A62:A83"/>
    <mergeCell ref="K35:K53"/>
    <mergeCell ref="K54:K55"/>
    <mergeCell ref="K58:K59"/>
    <mergeCell ref="K78:K79"/>
    <mergeCell ref="K82:K83"/>
    <mergeCell ref="K63:K7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tint="-0.249977111117893"/>
  </sheetPr>
  <dimension ref="A1:C12"/>
  <sheetViews>
    <sheetView zoomScaleNormal="100" workbookViewId="0">
      <pane ySplit="4" topLeftCell="A5" activePane="bottomLeft" state="frozen"/>
      <selection pane="bottomLeft" activeCell="C10" sqref="C10"/>
    </sheetView>
  </sheetViews>
  <sheetFormatPr defaultRowHeight="14.6" x14ac:dyDescent="0.4"/>
  <cols>
    <col min="1" max="1" width="39.53515625" bestFit="1" customWidth="1"/>
    <col min="2" max="2" width="15.69140625" bestFit="1" customWidth="1"/>
    <col min="3" max="3" width="16.3046875" bestFit="1" customWidth="1"/>
    <col min="4" max="4" width="16" bestFit="1" customWidth="1"/>
  </cols>
  <sheetData>
    <row r="1" spans="1:3" s="8" customFormat="1" x14ac:dyDescent="0.4">
      <c r="A1" s="10" t="s">
        <v>208</v>
      </c>
      <c r="B1"/>
      <c r="C1"/>
    </row>
    <row r="2" spans="1:3" s="8" customFormat="1" x14ac:dyDescent="0.4">
      <c r="A2" s="20"/>
      <c r="B2" s="35"/>
      <c r="C2"/>
    </row>
    <row r="4" spans="1:3" x14ac:dyDescent="0.4">
      <c r="A4" s="26" t="s">
        <v>117</v>
      </c>
      <c r="B4" t="s">
        <v>121</v>
      </c>
      <c r="C4" t="s">
        <v>119</v>
      </c>
    </row>
    <row r="5" spans="1:3" x14ac:dyDescent="0.4">
      <c r="A5" s="27" t="s">
        <v>10</v>
      </c>
      <c r="B5" s="28">
        <v>5127745</v>
      </c>
      <c r="C5" s="28">
        <v>5045708</v>
      </c>
    </row>
    <row r="6" spans="1:3" x14ac:dyDescent="0.4">
      <c r="A6" s="22" t="s">
        <v>150</v>
      </c>
      <c r="B6" s="28">
        <v>125875</v>
      </c>
      <c r="C6" s="28">
        <v>125875</v>
      </c>
    </row>
    <row r="7" spans="1:3" x14ac:dyDescent="0.4">
      <c r="A7" s="22" t="s">
        <v>161</v>
      </c>
      <c r="B7" s="28">
        <v>886870</v>
      </c>
      <c r="C7" s="28">
        <v>886490</v>
      </c>
    </row>
    <row r="8" spans="1:3" x14ac:dyDescent="0.4">
      <c r="A8" s="22" t="s">
        <v>209</v>
      </c>
      <c r="B8" s="28"/>
      <c r="C8" s="28">
        <v>29250</v>
      </c>
    </row>
    <row r="9" spans="1:3" x14ac:dyDescent="0.4">
      <c r="A9" s="22" t="s">
        <v>210</v>
      </c>
      <c r="B9" s="28">
        <v>500000</v>
      </c>
      <c r="C9" s="28">
        <v>499093</v>
      </c>
    </row>
    <row r="10" spans="1:3" x14ac:dyDescent="0.4">
      <c r="A10" s="22" t="s">
        <v>249</v>
      </c>
      <c r="B10" s="28">
        <v>2900000</v>
      </c>
      <c r="C10" s="28">
        <v>2790000</v>
      </c>
    </row>
    <row r="11" spans="1:3" x14ac:dyDescent="0.4">
      <c r="A11" s="22" t="s">
        <v>269</v>
      </c>
      <c r="B11" s="28">
        <v>715000</v>
      </c>
      <c r="C11" s="28">
        <v>715000</v>
      </c>
    </row>
    <row r="12" spans="1:3" x14ac:dyDescent="0.4">
      <c r="A12" s="27" t="s">
        <v>118</v>
      </c>
      <c r="B12" s="28">
        <v>5127745</v>
      </c>
      <c r="C12" s="28">
        <v>5045708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9" t="s">
        <v>286</v>
      </c>
    </row>
    <row r="3" spans="1:11" x14ac:dyDescent="0.4">
      <c r="A3" s="39" t="s">
        <v>127</v>
      </c>
      <c r="B3" s="38" t="s">
        <v>128</v>
      </c>
      <c r="C3" s="39" t="s">
        <v>129</v>
      </c>
      <c r="D3" s="40" t="s">
        <v>86</v>
      </c>
      <c r="E3" s="40" t="s">
        <v>87</v>
      </c>
      <c r="F3" s="39" t="s">
        <v>130</v>
      </c>
      <c r="G3" s="39" t="s">
        <v>131</v>
      </c>
      <c r="H3" s="41" t="s">
        <v>132</v>
      </c>
      <c r="I3" s="201" t="s">
        <v>321</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100">
        <f>VLOOKUP(A4,'Project Status'!C:M,11,FALSE)</f>
        <v>22000</v>
      </c>
      <c r="I4" s="205">
        <f>VLOOKUP(B4,'Project Status'!D:N,11,FALSE)</f>
        <v>17500</v>
      </c>
    </row>
    <row r="8" spans="1:11" x14ac:dyDescent="0.4">
      <c r="E8" s="43" t="s">
        <v>126</v>
      </c>
    </row>
    <row r="9" spans="1:11" x14ac:dyDescent="0.4">
      <c r="E9" s="22" t="s">
        <v>219</v>
      </c>
      <c r="F9" s="35" t="s">
        <v>148</v>
      </c>
      <c r="H9" s="44">
        <v>22000</v>
      </c>
      <c r="I9" s="44"/>
    </row>
    <row r="10" spans="1:11" x14ac:dyDescent="0.4">
      <c r="E10" s="22" t="s">
        <v>322</v>
      </c>
      <c r="F10" t="s">
        <v>323</v>
      </c>
      <c r="H10" s="45">
        <v>-4500</v>
      </c>
      <c r="I10" s="45"/>
    </row>
    <row r="18" spans="5:8" x14ac:dyDescent="0.4">
      <c r="E18" s="163" t="s">
        <v>280</v>
      </c>
      <c r="F18" s="164"/>
      <c r="G18" s="163"/>
      <c r="H18" s="165">
        <f>SUM(H9:H17)</f>
        <v>17500</v>
      </c>
    </row>
    <row r="20" spans="5:8" x14ac:dyDescent="0.4">
      <c r="E20" s="166" t="s">
        <v>138</v>
      </c>
      <c r="F20" s="166"/>
      <c r="G20" s="166"/>
      <c r="H20" s="167">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vt:i4>
      </vt:variant>
    </vt:vector>
  </HeadingPairs>
  <TitlesOfParts>
    <vt:vector size="46" baseType="lpstr">
      <vt:lpstr>Guidance</vt:lpstr>
      <vt:lpstr>Summary_for Web-1</vt:lpstr>
      <vt:lpstr>Summary_for Web-2</vt:lpstr>
      <vt:lpstr>Shared Building Allocation</vt:lpstr>
      <vt:lpstr>Contributions</vt:lpstr>
      <vt:lpstr>Project Status</vt:lpstr>
      <vt:lpstr>Summary_by FY</vt:lpstr>
      <vt:lpstr>Summary_by School</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2023-08-09T18:19:51Z</cp:lastPrinted>
  <dcterms:created xsi:type="dcterms:W3CDTF">2021-08-31T18:33:23Z</dcterms:created>
  <dcterms:modified xsi:type="dcterms:W3CDTF">2023-08-09T18:20:08Z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