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mc:AlternateContent xmlns:mc="http://schemas.openxmlformats.org/markup-compatibility/2006">
    <mc:Choice Requires="x15">
      <x15ac:absPath xmlns:x15ac="http://schemas.microsoft.com/office/spreadsheetml/2010/11/ac" url="Y:\FandA\8-Facility_Renewal\Reporting\Reports\FY23\"/>
    </mc:Choice>
  </mc:AlternateContent>
  <xr:revisionPtr revIDLastSave="0" documentId="13_ncr:1_{467AC471-60DD-4E74-B6F1-D46CFD83EFD1}" xr6:coauthVersionLast="47" xr6:coauthVersionMax="47" xr10:uidLastSave="{00000000-0000-0000-0000-000000000000}"/>
  <bookViews>
    <workbookView xWindow="28680" yWindow="-120" windowWidth="29040" windowHeight="15840" tabRatio="894" activeTab="5" xr2:uid="{382D63A7-A064-43C4-BB7D-7DDF2E98A281}"/>
  </bookViews>
  <sheets>
    <sheet name="Summary_for Web-1" sheetId="18" r:id="rId1"/>
    <sheet name="Summary_for Web-2" sheetId="17" r:id="rId2"/>
    <sheet name="Shared Building Allocation" sheetId="8" r:id="rId3"/>
    <sheet name="Contributions" sheetId="7" r:id="rId4"/>
    <sheet name="Project Status" sheetId="3" r:id="rId5"/>
    <sheet name="Summary_by FY" sheetId="41" r:id="rId6"/>
    <sheet name="Summary_by School" sheetId="9" r:id="rId7"/>
    <sheet name="10085" sheetId="24" r:id="rId8"/>
    <sheet name="10098" sheetId="10" r:id="rId9"/>
    <sheet name="10146" sheetId="29" r:id="rId10"/>
    <sheet name="20179" sheetId="12" r:id="rId11"/>
    <sheet name="20336" sheetId="15" r:id="rId12"/>
    <sheet name="20431" sheetId="20" r:id="rId13"/>
    <sheet name="20478" sheetId="34" r:id="rId14"/>
    <sheet name="20489" sheetId="35" r:id="rId15"/>
    <sheet name="20497" sheetId="13" r:id="rId16"/>
    <sheet name="20506" sheetId="38" r:id="rId17"/>
    <sheet name="20562" sheetId="32" r:id="rId18"/>
    <sheet name="20566" sheetId="14" r:id="rId19"/>
    <sheet name="20573" sheetId="36" r:id="rId20"/>
    <sheet name="20574" sheetId="21" r:id="rId21"/>
    <sheet name="20577" sheetId="16" r:id="rId22"/>
    <sheet name="20644" sheetId="31" r:id="rId23"/>
    <sheet name="20645" sheetId="46" r:id="rId24"/>
    <sheet name="20667" sheetId="19" r:id="rId25"/>
    <sheet name="20668" sheetId="22" r:id="rId26"/>
    <sheet name="20698" sheetId="27" r:id="rId27"/>
    <sheet name="20700" sheetId="30" r:id="rId28"/>
    <sheet name="20701" sheetId="39" r:id="rId29"/>
    <sheet name="20702" sheetId="26" r:id="rId30"/>
    <sheet name="20718" sheetId="44" r:id="rId31"/>
    <sheet name="20723" sheetId="37" r:id="rId32"/>
    <sheet name="20724" sheetId="33" r:id="rId33"/>
    <sheet name="20735" sheetId="42" r:id="rId34"/>
    <sheet name="20771" sheetId="40" r:id="rId35"/>
    <sheet name="20792" sheetId="45" r:id="rId36"/>
    <sheet name="JE LOG_FY23" sheetId="11" r:id="rId37"/>
    <sheet name="lookup" sheetId="25" r:id="rId38"/>
    <sheet name="PUC GSF" sheetId="1" state="hidden" r:id="rId39"/>
    <sheet name="Notes" sheetId="6" state="hidden" r:id="rId40"/>
  </sheets>
  <definedNames>
    <definedName name="_xlnm._FilterDatabase" localSheetId="4" hidden="1">'Project Status'!$A$3:$P$36</definedName>
    <definedName name="JE">'10098'!$E$9:$H$12</definedName>
    <definedName name="list">'JE LOG_FY23'!$T:$T</definedName>
    <definedName name="_xlnm.Print_Area" localSheetId="2">'Shared Building Allocation'!$A$1:$G$15</definedName>
    <definedName name="_xlnm.Print_Titles" localSheetId="1">'Summary_for Web-2'!$1:$5</definedName>
    <definedName name="Slicer_Building">#N/A</definedName>
    <definedName name="Slicer_Capex___opex">#N/A</definedName>
    <definedName name="Slicer_Lookup">#N/A</definedName>
  </definedNames>
  <calcPr calcId="191029"/>
  <pivotCaches>
    <pivotCache cacheId="0" r:id="rId41"/>
  </pivotCaches>
  <extLst>
    <ext xmlns:x14="http://schemas.microsoft.com/office/spreadsheetml/2009/9/main" uri="{BBE1A952-AA13-448e-AADC-164F8A28A991}">
      <x14:slicerCaches>
        <x14:slicerCache r:id="rId42"/>
        <x14:slicerCache r:id="rId43"/>
        <x14:slicerCache r:id="rId4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0" i="41" l="1"/>
  <c r="E60" i="41"/>
  <c r="F60" i="41"/>
  <c r="G60" i="41"/>
  <c r="D61" i="41"/>
  <c r="E61" i="41"/>
  <c r="F61" i="41"/>
  <c r="G61" i="41"/>
  <c r="D62" i="41"/>
  <c r="E62" i="41"/>
  <c r="F62" i="41"/>
  <c r="G62" i="41"/>
  <c r="I36" i="41"/>
  <c r="J36" i="41" s="1"/>
  <c r="I37" i="41"/>
  <c r="J37" i="41" s="1"/>
  <c r="I38" i="41"/>
  <c r="J38" i="41" s="1"/>
  <c r="I39" i="41"/>
  <c r="J39" i="41" s="1"/>
  <c r="I40" i="41"/>
  <c r="J40" i="41" s="1"/>
  <c r="I41" i="41"/>
  <c r="J41" i="41"/>
  <c r="I42" i="41"/>
  <c r="J42" i="41"/>
  <c r="I43" i="41"/>
  <c r="J43" i="41"/>
  <c r="I44" i="41"/>
  <c r="J44" i="41"/>
  <c r="D36" i="41"/>
  <c r="E36" i="41"/>
  <c r="F36" i="41"/>
  <c r="G36" i="41"/>
  <c r="D37" i="41"/>
  <c r="E37" i="41"/>
  <c r="F37" i="41"/>
  <c r="G37" i="41"/>
  <c r="D38" i="41"/>
  <c r="E38" i="41"/>
  <c r="F38" i="41"/>
  <c r="G38" i="41"/>
  <c r="D39" i="41"/>
  <c r="E39" i="41"/>
  <c r="F39" i="41"/>
  <c r="G39" i="41"/>
  <c r="D40" i="41"/>
  <c r="E40" i="41"/>
  <c r="F40" i="41"/>
  <c r="G40" i="41"/>
  <c r="D41" i="41"/>
  <c r="E41" i="41"/>
  <c r="F41" i="41"/>
  <c r="G41" i="41"/>
  <c r="D42" i="41"/>
  <c r="E42" i="41"/>
  <c r="F42" i="41"/>
  <c r="G42" i="41"/>
  <c r="D43" i="41"/>
  <c r="E43" i="41"/>
  <c r="F43" i="41"/>
  <c r="G43" i="41"/>
  <c r="D44" i="41"/>
  <c r="E44" i="41"/>
  <c r="F44" i="41"/>
  <c r="G44" i="41"/>
  <c r="I60" i="41"/>
  <c r="J60" i="41" s="1"/>
  <c r="I61" i="41"/>
  <c r="J61" i="41" s="1"/>
  <c r="I62" i="41"/>
  <c r="J62" i="41" s="1"/>
  <c r="I59" i="41"/>
  <c r="J59" i="41" s="1"/>
  <c r="K59" i="41"/>
  <c r="H80" i="41"/>
  <c r="G59" i="41"/>
  <c r="F59" i="41"/>
  <c r="E59" i="41"/>
  <c r="D59" i="41"/>
  <c r="H56" i="41"/>
  <c r="K35" i="41"/>
  <c r="T36" i="3"/>
  <c r="I35" i="41"/>
  <c r="J35" i="41" s="1"/>
  <c r="I56" i="41" l="1"/>
  <c r="J80" i="41"/>
  <c r="I80" i="41"/>
  <c r="J56" i="41"/>
  <c r="G35" i="41"/>
  <c r="F35" i="41"/>
  <c r="E35" i="41"/>
  <c r="D35" i="41"/>
  <c r="J4" i="41"/>
  <c r="J5" i="41"/>
  <c r="J6" i="41"/>
  <c r="J7" i="41"/>
  <c r="J8" i="41"/>
  <c r="J9" i="41"/>
  <c r="J10" i="41"/>
  <c r="J11" i="41"/>
  <c r="J12" i="41"/>
  <c r="J13" i="41"/>
  <c r="J14" i="41"/>
  <c r="J15" i="41"/>
  <c r="J16" i="41"/>
  <c r="J17" i="41"/>
  <c r="J18" i="41"/>
  <c r="J19" i="41"/>
  <c r="J20" i="41"/>
  <c r="J21" i="41"/>
  <c r="J22" i="41"/>
  <c r="J23" i="41"/>
  <c r="J24" i="41"/>
  <c r="J25" i="41"/>
  <c r="J26" i="41"/>
  <c r="J27" i="41"/>
  <c r="J28" i="41"/>
  <c r="J29" i="41"/>
  <c r="J30" i="41"/>
  <c r="J31" i="41"/>
  <c r="I3" i="41"/>
  <c r="I32" i="41" s="1"/>
  <c r="H3" i="41"/>
  <c r="H32" i="41" s="1"/>
  <c r="G3" i="41"/>
  <c r="F3" i="4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T10" i="3"/>
  <c r="Q10" i="3"/>
  <c r="L13" i="34"/>
  <c r="H18" i="34"/>
  <c r="H16" i="34"/>
  <c r="H14" i="34"/>
  <c r="H13" i="34"/>
  <c r="R35" i="3"/>
  <c r="X4" i="3"/>
  <c r="W4" i="3"/>
  <c r="V4" i="3"/>
  <c r="L24" i="3"/>
  <c r="L23" i="3"/>
  <c r="L22" i="3"/>
  <c r="L21" i="3"/>
  <c r="Q21" i="3"/>
  <c r="J3" i="41" l="1"/>
  <c r="J32" i="41" s="1"/>
  <c r="H18" i="46"/>
  <c r="H4" i="46"/>
  <c r="G4" i="46"/>
  <c r="F4" i="46"/>
  <c r="E4" i="46"/>
  <c r="D4" i="46"/>
  <c r="C4" i="46"/>
  <c r="B4" i="46"/>
  <c r="Q31" i="3"/>
  <c r="S31" i="3" s="1"/>
  <c r="G33" i="17" s="1"/>
  <c r="H18" i="45"/>
  <c r="H4" i="45"/>
  <c r="G4" i="45"/>
  <c r="F4" i="45"/>
  <c r="E4" i="45"/>
  <c r="D4" i="45"/>
  <c r="C4" i="45"/>
  <c r="B4" i="45"/>
  <c r="H18" i="44"/>
  <c r="Q28" i="3" s="1"/>
  <c r="S28" i="3" s="1"/>
  <c r="G30" i="17" s="1"/>
  <c r="H4" i="44"/>
  <c r="G4" i="44"/>
  <c r="F4" i="44"/>
  <c r="E4" i="44"/>
  <c r="D4" i="44"/>
  <c r="C4" i="44"/>
  <c r="B4" i="44"/>
  <c r="G34" i="17"/>
  <c r="S15" i="3"/>
  <c r="G17" i="17" s="1"/>
  <c r="S32" i="3"/>
  <c r="S34" i="3"/>
  <c r="G36" i="17" s="1"/>
  <c r="S35" i="3"/>
  <c r="G37" i="17" s="1"/>
  <c r="X19" i="3"/>
  <c r="X21" i="3"/>
  <c r="W21" i="3"/>
  <c r="E37" i="17"/>
  <c r="F37" i="17"/>
  <c r="H37" i="17"/>
  <c r="B37" i="17"/>
  <c r="G35" i="3"/>
  <c r="D37" i="17" s="1"/>
  <c r="W35" i="3"/>
  <c r="X35" i="3"/>
  <c r="U36" i="3"/>
  <c r="P36" i="3"/>
  <c r="O36" i="3"/>
  <c r="N36" i="3"/>
  <c r="M36" i="3"/>
  <c r="L36" i="3"/>
  <c r="H18" i="42"/>
  <c r="H4" i="42"/>
  <c r="G4" i="42"/>
  <c r="F4" i="42"/>
  <c r="E4" i="42"/>
  <c r="D4" i="42"/>
  <c r="C4" i="42"/>
  <c r="B4" i="42"/>
  <c r="E36" i="17"/>
  <c r="F36" i="17"/>
  <c r="H36" i="17"/>
  <c r="B36" i="17"/>
  <c r="X34" i="3"/>
  <c r="X5" i="3"/>
  <c r="X6" i="3"/>
  <c r="X7" i="3"/>
  <c r="X8" i="3"/>
  <c r="X9" i="3"/>
  <c r="X10" i="3"/>
  <c r="X11" i="3"/>
  <c r="X12" i="3"/>
  <c r="X13" i="3"/>
  <c r="X14" i="3"/>
  <c r="X15" i="3"/>
  <c r="X16" i="3"/>
  <c r="X17" i="3"/>
  <c r="X18" i="3"/>
  <c r="X20" i="3"/>
  <c r="X22" i="3"/>
  <c r="X23" i="3"/>
  <c r="X24" i="3"/>
  <c r="X25" i="3"/>
  <c r="X26" i="3"/>
  <c r="X27" i="3"/>
  <c r="X28" i="3"/>
  <c r="X29" i="3"/>
  <c r="X30" i="3"/>
  <c r="X31" i="3"/>
  <c r="X32" i="3"/>
  <c r="X33" i="3"/>
  <c r="W6" i="3"/>
  <c r="W5" i="3"/>
  <c r="W9" i="3"/>
  <c r="W7" i="3"/>
  <c r="W8" i="3"/>
  <c r="W10" i="3"/>
  <c r="W11" i="3"/>
  <c r="W12" i="3"/>
  <c r="W13" i="3"/>
  <c r="W14" i="3"/>
  <c r="W15" i="3"/>
  <c r="W16" i="3"/>
  <c r="W17" i="3"/>
  <c r="W18" i="3"/>
  <c r="W19" i="3"/>
  <c r="W20" i="3"/>
  <c r="W22" i="3"/>
  <c r="W23" i="3"/>
  <c r="W24" i="3"/>
  <c r="W25" i="3"/>
  <c r="W26" i="3"/>
  <c r="W27" i="3"/>
  <c r="W28" i="3"/>
  <c r="W31" i="3"/>
  <c r="W32" i="3"/>
  <c r="W33" i="3"/>
  <c r="W34" i="3"/>
  <c r="H20" i="46" l="1"/>
  <c r="R36" i="3"/>
  <c r="Q42" i="3" s="1"/>
  <c r="V35" i="3"/>
  <c r="H20" i="45"/>
  <c r="H20" i="44"/>
  <c r="S21" i="3"/>
  <c r="H20" i="42"/>
  <c r="V15" i="3"/>
  <c r="G15" i="3"/>
  <c r="H7" i="17"/>
  <c r="H8" i="17"/>
  <c r="H9" i="17"/>
  <c r="H10" i="17"/>
  <c r="H11" i="17"/>
  <c r="H12" i="17"/>
  <c r="H13" i="17"/>
  <c r="H14" i="17"/>
  <c r="H15" i="17"/>
  <c r="H16" i="17"/>
  <c r="H17" i="17"/>
  <c r="H18" i="17"/>
  <c r="H19" i="17"/>
  <c r="H20" i="17"/>
  <c r="H21" i="17"/>
  <c r="H22" i="17"/>
  <c r="H23" i="17"/>
  <c r="H24" i="17"/>
  <c r="H25" i="17"/>
  <c r="H26" i="17"/>
  <c r="H27" i="17"/>
  <c r="H28" i="17"/>
  <c r="H33" i="17"/>
  <c r="H34" i="17"/>
  <c r="H35" i="17"/>
  <c r="H6" i="17"/>
  <c r="E34" i="17"/>
  <c r="F34" i="17"/>
  <c r="E35" i="17"/>
  <c r="F35" i="17"/>
  <c r="B34" i="17"/>
  <c r="B35" i="17"/>
  <c r="H11" i="29"/>
  <c r="H18" i="29"/>
  <c r="Q26" i="3"/>
  <c r="S26" i="3" s="1"/>
  <c r="G28" i="17" s="1"/>
  <c r="Q33" i="3"/>
  <c r="S33" i="3" s="1"/>
  <c r="G35" i="17" s="1"/>
  <c r="Q30" i="3"/>
  <c r="S30" i="3" s="1"/>
  <c r="G32" i="17" s="1"/>
  <c r="Q29" i="3"/>
  <c r="S29" i="3" s="1"/>
  <c r="G31" i="17" s="1"/>
  <c r="Q27" i="3"/>
  <c r="S27" i="3" s="1"/>
  <c r="G29" i="17" s="1"/>
  <c r="Q25" i="3"/>
  <c r="S25" i="3" s="1"/>
  <c r="G27" i="17" s="1"/>
  <c r="Q23" i="3"/>
  <c r="S23" i="3" s="1"/>
  <c r="G25" i="17" s="1"/>
  <c r="Q22" i="3"/>
  <c r="S22" i="3" s="1"/>
  <c r="G24" i="17" s="1"/>
  <c r="Q20" i="3"/>
  <c r="S20" i="3" s="1"/>
  <c r="G22" i="17" s="1"/>
  <c r="Q19" i="3"/>
  <c r="S19" i="3" s="1"/>
  <c r="G21" i="17" s="1"/>
  <c r="Q18" i="3"/>
  <c r="S18" i="3" s="1"/>
  <c r="G20" i="17" s="1"/>
  <c r="Q17" i="3"/>
  <c r="S17" i="3" s="1"/>
  <c r="G19" i="17" s="1"/>
  <c r="Q16" i="3"/>
  <c r="S16" i="3" s="1"/>
  <c r="G18" i="17" s="1"/>
  <c r="Q14" i="3"/>
  <c r="S14" i="3" s="1"/>
  <c r="G16" i="17" s="1"/>
  <c r="Q13" i="3"/>
  <c r="S13" i="3" s="1"/>
  <c r="G15" i="17" s="1"/>
  <c r="Q12" i="3"/>
  <c r="S12" i="3" s="1"/>
  <c r="G14" i="17" s="1"/>
  <c r="Q11" i="3"/>
  <c r="S11" i="3" s="1"/>
  <c r="G13" i="17" s="1"/>
  <c r="S10" i="3"/>
  <c r="G12" i="17" s="1"/>
  <c r="Q9" i="3"/>
  <c r="S9" i="3" s="1"/>
  <c r="G11" i="17" s="1"/>
  <c r="Q8" i="3"/>
  <c r="S8" i="3" s="1"/>
  <c r="G10" i="17" s="1"/>
  <c r="Q7" i="3"/>
  <c r="S7" i="3" s="1"/>
  <c r="G9" i="17" s="1"/>
  <c r="Q6" i="3"/>
  <c r="S6" i="3" s="1"/>
  <c r="G8" i="17" s="1"/>
  <c r="Q5" i="3"/>
  <c r="S5" i="3" s="1"/>
  <c r="G7" i="17" s="1"/>
  <c r="Q4" i="3"/>
  <c r="H18" i="39"/>
  <c r="H18" i="33"/>
  <c r="H18" i="40"/>
  <c r="H18" i="37"/>
  <c r="H18" i="26"/>
  <c r="H18" i="30"/>
  <c r="H18" i="27"/>
  <c r="Q24" i="3" s="1"/>
  <c r="H18" i="22"/>
  <c r="H18" i="19"/>
  <c r="H18" i="31"/>
  <c r="H18" i="16"/>
  <c r="H18" i="21"/>
  <c r="H18" i="36"/>
  <c r="H18" i="14"/>
  <c r="H18" i="32"/>
  <c r="H18" i="38"/>
  <c r="H18" i="13"/>
  <c r="H18" i="35"/>
  <c r="H18" i="20"/>
  <c r="H18" i="15"/>
  <c r="H18" i="12"/>
  <c r="H18" i="24"/>
  <c r="H18" i="10"/>
  <c r="G29" i="3"/>
  <c r="G30" i="3"/>
  <c r="G31" i="3"/>
  <c r="G32" i="3"/>
  <c r="G33" i="3"/>
  <c r="G34" i="3"/>
  <c r="H4" i="40"/>
  <c r="H20" i="40" s="1"/>
  <c r="G4" i="40"/>
  <c r="F4" i="40"/>
  <c r="E4" i="40"/>
  <c r="D4" i="40"/>
  <c r="C4" i="40"/>
  <c r="B4" i="40"/>
  <c r="H4" i="39"/>
  <c r="H20" i="39" s="1"/>
  <c r="G4" i="39"/>
  <c r="F4" i="39"/>
  <c r="E4" i="39"/>
  <c r="D4" i="39"/>
  <c r="C4" i="39"/>
  <c r="B4" i="39"/>
  <c r="D34" i="17" l="1"/>
  <c r="Q36" i="3"/>
  <c r="Q41" i="3" s="1"/>
  <c r="Q43" i="3" s="1"/>
  <c r="S24" i="3"/>
  <c r="G26" i="17" s="1"/>
  <c r="V21" i="3"/>
  <c r="G23" i="17"/>
  <c r="D35" i="17"/>
  <c r="D36" i="17"/>
  <c r="V12" i="3"/>
  <c r="V22" i="3"/>
  <c r="V26" i="3"/>
  <c r="V34" i="3"/>
  <c r="V13" i="3"/>
  <c r="V14" i="3"/>
  <c r="V30" i="3"/>
  <c r="V5" i="3"/>
  <c r="V23" i="3"/>
  <c r="V7" i="3"/>
  <c r="V16" i="3"/>
  <c r="V25" i="3"/>
  <c r="V32" i="3"/>
  <c r="V19" i="3"/>
  <c r="V8" i="3"/>
  <c r="V17" i="3"/>
  <c r="V27" i="3"/>
  <c r="V9" i="3"/>
  <c r="V18" i="3"/>
  <c r="V29" i="3"/>
  <c r="V31" i="3"/>
  <c r="V28" i="3"/>
  <c r="V11" i="3"/>
  <c r="V20" i="3"/>
  <c r="V33" i="3"/>
  <c r="T29" i="3"/>
  <c r="T30" i="3"/>
  <c r="E29" i="17"/>
  <c r="F29" i="17"/>
  <c r="E30" i="17"/>
  <c r="F30" i="17"/>
  <c r="E31" i="17"/>
  <c r="F31" i="17"/>
  <c r="E32" i="17"/>
  <c r="F32" i="17"/>
  <c r="B27" i="17"/>
  <c r="B28" i="17"/>
  <c r="B29" i="17"/>
  <c r="B30" i="17"/>
  <c r="B31" i="17"/>
  <c r="B32" i="17"/>
  <c r="B33" i="17"/>
  <c r="V24" i="3" l="1"/>
  <c r="W29" i="3"/>
  <c r="H31" i="17"/>
  <c r="W30" i="3"/>
  <c r="H32" i="17"/>
  <c r="V6" i="3"/>
  <c r="V10" i="3"/>
  <c r="G27" i="3"/>
  <c r="D29" i="17" s="1"/>
  <c r="G28" i="3"/>
  <c r="H4" i="38"/>
  <c r="H20" i="38" s="1"/>
  <c r="G4" i="38"/>
  <c r="F4" i="38"/>
  <c r="E4" i="38"/>
  <c r="D4" i="38"/>
  <c r="C4" i="38"/>
  <c r="B4" i="38"/>
  <c r="G5" i="3"/>
  <c r="G6" i="3"/>
  <c r="G7" i="3"/>
  <c r="G8" i="3"/>
  <c r="G9" i="3"/>
  <c r="G10" i="3"/>
  <c r="G11" i="3"/>
  <c r="G12" i="3"/>
  <c r="G13" i="3"/>
  <c r="G14" i="3"/>
  <c r="G16" i="3"/>
  <c r="G17" i="3"/>
  <c r="G18" i="3"/>
  <c r="G19" i="3"/>
  <c r="G20" i="3"/>
  <c r="G21" i="3"/>
  <c r="G22" i="3"/>
  <c r="G23" i="3"/>
  <c r="G24" i="3"/>
  <c r="G25" i="3"/>
  <c r="G26" i="3"/>
  <c r="D32" i="17" l="1"/>
  <c r="D31" i="17"/>
  <c r="D30" i="17"/>
  <c r="H29" i="17"/>
  <c r="B9" i="17"/>
  <c r="B10" i="17"/>
  <c r="B11" i="17"/>
  <c r="B12" i="17"/>
  <c r="B13" i="17"/>
  <c r="B14" i="17"/>
  <c r="B15" i="17"/>
  <c r="B16" i="17"/>
  <c r="B17" i="17"/>
  <c r="B18" i="17"/>
  <c r="B19" i="17"/>
  <c r="B20" i="17"/>
  <c r="B21" i="17"/>
  <c r="B22" i="17"/>
  <c r="B23" i="17"/>
  <c r="B24" i="17"/>
  <c r="B25" i="17"/>
  <c r="B26" i="17"/>
  <c r="H4" i="37"/>
  <c r="H20" i="37" s="1"/>
  <c r="G4" i="37"/>
  <c r="F4" i="37"/>
  <c r="E4" i="37"/>
  <c r="D4" i="37"/>
  <c r="C4" i="37"/>
  <c r="B4" i="37"/>
  <c r="C6" i="8"/>
  <c r="C7" i="8"/>
  <c r="C8" i="8"/>
  <c r="C9" i="8"/>
  <c r="C10" i="8"/>
  <c r="C11" i="8"/>
  <c r="C12" i="8"/>
  <c r="C13" i="8"/>
  <c r="C5" i="8"/>
  <c r="B22" i="18"/>
  <c r="B23" i="18"/>
  <c r="B24" i="18"/>
  <c r="B25" i="18"/>
  <c r="B26" i="18"/>
  <c r="B27" i="18"/>
  <c r="B28" i="18"/>
  <c r="B29" i="18"/>
  <c r="B21" i="18"/>
  <c r="E33" i="17"/>
  <c r="F33" i="17"/>
  <c r="H4" i="34"/>
  <c r="G4" i="34"/>
  <c r="F4" i="34"/>
  <c r="E4" i="34"/>
  <c r="D4" i="34"/>
  <c r="C4" i="34"/>
  <c r="B4" i="34"/>
  <c r="H10" i="34"/>
  <c r="H4" i="36"/>
  <c r="H20" i="36" s="1"/>
  <c r="G4" i="36"/>
  <c r="F4" i="36"/>
  <c r="E4" i="36"/>
  <c r="D4" i="36"/>
  <c r="C4" i="36"/>
  <c r="B4" i="36"/>
  <c r="H4" i="35"/>
  <c r="H20" i="35" s="1"/>
  <c r="G4" i="35"/>
  <c r="F4" i="35"/>
  <c r="E4" i="35"/>
  <c r="D4" i="35"/>
  <c r="C4" i="35"/>
  <c r="B4" i="35"/>
  <c r="H9" i="34"/>
  <c r="H4" i="33"/>
  <c r="H20" i="33" s="1"/>
  <c r="G4" i="33"/>
  <c r="F4" i="33"/>
  <c r="E4" i="33"/>
  <c r="D4" i="33"/>
  <c r="C4" i="33"/>
  <c r="B4" i="33"/>
  <c r="E28" i="17"/>
  <c r="F28" i="17"/>
  <c r="H4" i="32"/>
  <c r="H20" i="32" s="1"/>
  <c r="G4" i="32"/>
  <c r="F4" i="32"/>
  <c r="E4" i="32"/>
  <c r="D4" i="32"/>
  <c r="C4" i="32"/>
  <c r="B4" i="32"/>
  <c r="H15" i="20"/>
  <c r="H14" i="20"/>
  <c r="H13" i="20"/>
  <c r="H12" i="20"/>
  <c r="K13" i="20"/>
  <c r="J13" i="20"/>
  <c r="H4" i="31"/>
  <c r="H20" i="31" s="1"/>
  <c r="G4" i="31"/>
  <c r="F4" i="31"/>
  <c r="E4" i="31"/>
  <c r="D4" i="31"/>
  <c r="C4" i="31"/>
  <c r="B4" i="31"/>
  <c r="H4" i="30"/>
  <c r="H20" i="30" s="1"/>
  <c r="G4" i="30"/>
  <c r="F4" i="30"/>
  <c r="E4" i="30"/>
  <c r="D4" i="30"/>
  <c r="C4" i="30"/>
  <c r="B4" i="30"/>
  <c r="E12" i="17"/>
  <c r="F12" i="17"/>
  <c r="D20" i="8" l="1"/>
  <c r="S4" i="3"/>
  <c r="S36" i="3" s="1"/>
  <c r="H20" i="34"/>
  <c r="H4" i="10"/>
  <c r="H20" i="10" s="1"/>
  <c r="H4" i="12"/>
  <c r="H4" i="15"/>
  <c r="H20" i="15" s="1"/>
  <c r="H4" i="13"/>
  <c r="H20" i="13" s="1"/>
  <c r="H4" i="14"/>
  <c r="H20" i="14" s="1"/>
  <c r="H4" i="16"/>
  <c r="H20" i="16" s="1"/>
  <c r="H4" i="19"/>
  <c r="H20" i="19" s="1"/>
  <c r="H4" i="20"/>
  <c r="H20" i="20" s="1"/>
  <c r="H4" i="21"/>
  <c r="H20" i="21" s="1"/>
  <c r="H4" i="22"/>
  <c r="H20" i="22" s="1"/>
  <c r="H4" i="24"/>
  <c r="H20" i="24" s="1"/>
  <c r="H4" i="26"/>
  <c r="H20" i="26" s="1"/>
  <c r="H4" i="27"/>
  <c r="H20" i="27" s="1"/>
  <c r="H4" i="29"/>
  <c r="H20" i="29" s="1"/>
  <c r="E9" i="17"/>
  <c r="F9" i="17"/>
  <c r="E10" i="17"/>
  <c r="F10" i="17"/>
  <c r="E11" i="17"/>
  <c r="F11" i="17"/>
  <c r="E13" i="17"/>
  <c r="F13" i="17"/>
  <c r="E14" i="17"/>
  <c r="F14" i="17"/>
  <c r="C18" i="7" l="1"/>
  <c r="G6" i="17"/>
  <c r="G38" i="17" s="1"/>
  <c r="G4" i="29"/>
  <c r="F4" i="29"/>
  <c r="E4" i="29"/>
  <c r="D4" i="29"/>
  <c r="C4" i="29"/>
  <c r="B4" i="29"/>
  <c r="G4" i="27"/>
  <c r="F4" i="27"/>
  <c r="E4" i="27"/>
  <c r="D4" i="27"/>
  <c r="C4" i="27"/>
  <c r="B4" i="27"/>
  <c r="G4" i="26"/>
  <c r="F4" i="26"/>
  <c r="E4" i="26"/>
  <c r="D4" i="26"/>
  <c r="C4" i="26"/>
  <c r="B4" i="26"/>
  <c r="G12" i="7"/>
  <c r="B14" i="7"/>
  <c r="F14" i="7"/>
  <c r="G4" i="24"/>
  <c r="F4" i="24"/>
  <c r="E4" i="24"/>
  <c r="D4" i="24"/>
  <c r="C4" i="24"/>
  <c r="B4" i="24"/>
  <c r="G4" i="22"/>
  <c r="F4" i="22"/>
  <c r="E4" i="22"/>
  <c r="D4" i="22"/>
  <c r="C4" i="22"/>
  <c r="B4" i="22"/>
  <c r="G4" i="21"/>
  <c r="F4" i="21"/>
  <c r="E4" i="21"/>
  <c r="D4" i="21"/>
  <c r="C4" i="21"/>
  <c r="B4" i="21"/>
  <c r="G4" i="20"/>
  <c r="F4" i="20"/>
  <c r="E4" i="20"/>
  <c r="D4" i="20"/>
  <c r="C4" i="20"/>
  <c r="B4" i="20"/>
  <c r="G4" i="19"/>
  <c r="F4" i="19"/>
  <c r="E4" i="19"/>
  <c r="D4" i="19"/>
  <c r="C4" i="19"/>
  <c r="B4" i="19"/>
  <c r="G4" i="16"/>
  <c r="F4" i="16"/>
  <c r="E4" i="16"/>
  <c r="D4" i="16"/>
  <c r="C4" i="16"/>
  <c r="B4" i="16"/>
  <c r="G4" i="14"/>
  <c r="F4" i="14"/>
  <c r="E4" i="14"/>
  <c r="D4" i="14"/>
  <c r="C4" i="14"/>
  <c r="B4" i="14"/>
  <c r="G4" i="13"/>
  <c r="F4" i="13"/>
  <c r="E4" i="13"/>
  <c r="D4" i="13"/>
  <c r="C4" i="13"/>
  <c r="B4" i="13"/>
  <c r="G4" i="15"/>
  <c r="F4" i="15"/>
  <c r="E4" i="15"/>
  <c r="D4" i="15"/>
  <c r="C4" i="15"/>
  <c r="B4" i="15"/>
  <c r="G4" i="12"/>
  <c r="F4" i="12"/>
  <c r="E4" i="12"/>
  <c r="D4" i="12"/>
  <c r="C4" i="12"/>
  <c r="B4" i="12"/>
  <c r="G4" i="10"/>
  <c r="F4" i="10"/>
  <c r="E4" i="10"/>
  <c r="D4" i="10"/>
  <c r="C4" i="10"/>
  <c r="B4" i="10"/>
  <c r="E23" i="17"/>
  <c r="F23" i="17"/>
  <c r="B8" i="17"/>
  <c r="B7" i="17"/>
  <c r="B6" i="17"/>
  <c r="F17" i="17"/>
  <c r="F15" i="17"/>
  <c r="F8" i="17"/>
  <c r="F18" i="17"/>
  <c r="F20" i="17"/>
  <c r="F16" i="17"/>
  <c r="F27" i="17"/>
  <c r="F7" i="17"/>
  <c r="F22" i="17"/>
  <c r="F6" i="17"/>
  <c r="F19" i="17"/>
  <c r="F24" i="17"/>
  <c r="F21" i="17"/>
  <c r="F25" i="17"/>
  <c r="F26" i="17"/>
  <c r="E17" i="17"/>
  <c r="E15" i="17"/>
  <c r="E8" i="17"/>
  <c r="E18" i="17"/>
  <c r="E20" i="17"/>
  <c r="E16" i="17"/>
  <c r="E27" i="17"/>
  <c r="E7" i="17"/>
  <c r="E22" i="17"/>
  <c r="E6" i="17"/>
  <c r="E19" i="17"/>
  <c r="E24" i="17"/>
  <c r="E21" i="17"/>
  <c r="E25" i="17"/>
  <c r="E26" i="17"/>
  <c r="D12" i="17"/>
  <c r="D19" i="17"/>
  <c r="D33" i="17"/>
  <c r="D25" i="17"/>
  <c r="G4" i="3"/>
  <c r="D22" i="8"/>
  <c r="E5" i="8" s="1"/>
  <c r="H9" i="20"/>
  <c r="K11" i="20"/>
  <c r="K10" i="20"/>
  <c r="J11" i="20"/>
  <c r="H11" i="20" s="1"/>
  <c r="J10" i="20"/>
  <c r="H10" i="20" s="1"/>
  <c r="C19" i="11" l="1"/>
  <c r="C18" i="11"/>
  <c r="C10" i="11"/>
  <c r="C17" i="11"/>
  <c r="C9" i="11"/>
  <c r="C16" i="11"/>
  <c r="F4" i="11"/>
  <c r="C23" i="11" s="1"/>
  <c r="C15" i="11"/>
  <c r="C14" i="11"/>
  <c r="C13" i="11"/>
  <c r="C12" i="11"/>
  <c r="C11" i="11"/>
  <c r="F38" i="17"/>
  <c r="H12" i="8"/>
  <c r="C28" i="18"/>
  <c r="H30" i="17"/>
  <c r="H38" i="17" s="1"/>
  <c r="I20" i="8"/>
  <c r="I12" i="8"/>
  <c r="K12" i="8" s="1"/>
  <c r="I13" i="8"/>
  <c r="K13" i="8" s="1"/>
  <c r="I6" i="8"/>
  <c r="K6" i="8" s="1"/>
  <c r="I5" i="8"/>
  <c r="I7" i="8"/>
  <c r="K7" i="8" s="1"/>
  <c r="I8" i="8"/>
  <c r="K8" i="8" s="1"/>
  <c r="I9" i="8"/>
  <c r="K9" i="8" s="1"/>
  <c r="I10" i="8"/>
  <c r="I11" i="8"/>
  <c r="K11" i="8" s="1"/>
  <c r="D6" i="8"/>
  <c r="D5" i="8"/>
  <c r="D7" i="8"/>
  <c r="D8" i="8"/>
  <c r="D9" i="8"/>
  <c r="D10" i="8"/>
  <c r="D11" i="8"/>
  <c r="D13" i="8"/>
  <c r="D12" i="8"/>
  <c r="D28" i="17"/>
  <c r="D14" i="17"/>
  <c r="D22" i="17"/>
  <c r="D21" i="17"/>
  <c r="D17" i="17"/>
  <c r="D24" i="17"/>
  <c r="D7" i="17"/>
  <c r="D27" i="17"/>
  <c r="D16" i="17"/>
  <c r="D13" i="17"/>
  <c r="D20" i="17"/>
  <c r="D11" i="17"/>
  <c r="D18" i="17"/>
  <c r="D10" i="17"/>
  <c r="D8" i="17"/>
  <c r="D9" i="17"/>
  <c r="D6" i="17"/>
  <c r="D15" i="17"/>
  <c r="G7" i="7"/>
  <c r="G8" i="7"/>
  <c r="G13" i="7"/>
  <c r="G6" i="7"/>
  <c r="G9" i="7"/>
  <c r="G10" i="7"/>
  <c r="G5" i="7"/>
  <c r="G14" i="7" s="1"/>
  <c r="G11" i="7"/>
  <c r="D26" i="17"/>
  <c r="D23" i="17"/>
  <c r="B14" i="18"/>
  <c r="B13" i="18"/>
  <c r="B12" i="18"/>
  <c r="B11" i="18"/>
  <c r="B10" i="18"/>
  <c r="B9" i="18"/>
  <c r="B8" i="18"/>
  <c r="B7" i="18"/>
  <c r="B6" i="18"/>
  <c r="G17" i="7" l="1"/>
  <c r="T39" i="3"/>
  <c r="C23" i="18"/>
  <c r="H7" i="8"/>
  <c r="H13" i="8"/>
  <c r="C29" i="18"/>
  <c r="C24" i="18"/>
  <c r="H8" i="8"/>
  <c r="L8" i="8" s="1"/>
  <c r="H11" i="8"/>
  <c r="C27" i="18"/>
  <c r="H5" i="8"/>
  <c r="C21" i="18"/>
  <c r="C26" i="18"/>
  <c r="H10" i="8"/>
  <c r="H6" i="8"/>
  <c r="L6" i="8" s="1"/>
  <c r="C22" i="18"/>
  <c r="H9" i="8"/>
  <c r="C25" i="18"/>
  <c r="C21" i="11"/>
  <c r="Q37" i="3" s="1"/>
  <c r="I23" i="8"/>
  <c r="I22" i="8"/>
  <c r="G18" i="7"/>
  <c r="G19" i="7" s="1"/>
  <c r="T42" i="3"/>
  <c r="T43" i="3" s="1"/>
  <c r="D24" i="18"/>
  <c r="E24" i="18" s="1"/>
  <c r="D23" i="18"/>
  <c r="E23" i="18" s="1"/>
  <c r="L7" i="8"/>
  <c r="I14" i="8"/>
  <c r="D22" i="18"/>
  <c r="L13" i="8"/>
  <c r="D29" i="18"/>
  <c r="E29" i="18" s="1"/>
  <c r="D27" i="18"/>
  <c r="E27" i="18" s="1"/>
  <c r="L11" i="8"/>
  <c r="L12" i="8"/>
  <c r="D28" i="18"/>
  <c r="E28" i="18" s="1"/>
  <c r="D25" i="18"/>
  <c r="E25" i="18" s="1"/>
  <c r="L9" i="8"/>
  <c r="H10" i="13"/>
  <c r="H10" i="12"/>
  <c r="H11" i="12" s="1"/>
  <c r="H20" i="12" s="1"/>
  <c r="F8" i="8"/>
  <c r="D9" i="18" s="1"/>
  <c r="F11" i="8"/>
  <c r="D12" i="18" s="1"/>
  <c r="F12" i="8"/>
  <c r="D13" i="18" s="1"/>
  <c r="B6" i="8"/>
  <c r="B7" i="8"/>
  <c r="B8" i="8"/>
  <c r="B9" i="8"/>
  <c r="B10" i="8"/>
  <c r="B11" i="8"/>
  <c r="B12" i="8"/>
  <c r="B13" i="8"/>
  <c r="B5" i="8"/>
  <c r="T45" i="3" l="1"/>
  <c r="H14" i="8"/>
  <c r="C30" i="18"/>
  <c r="E22" i="18"/>
  <c r="I24" i="8"/>
  <c r="J5" i="8"/>
  <c r="K5" i="8" s="1"/>
  <c r="L5" i="8" s="1"/>
  <c r="J10" i="8"/>
  <c r="K10" i="8" s="1"/>
  <c r="F9" i="8"/>
  <c r="D10" i="18" s="1"/>
  <c r="H11" i="13"/>
  <c r="C14" i="18"/>
  <c r="C11" i="18"/>
  <c r="C8" i="18"/>
  <c r="C7" i="18"/>
  <c r="C6" i="18"/>
  <c r="D21" i="18" l="1"/>
  <c r="E21" i="18" s="1"/>
  <c r="K14" i="8"/>
  <c r="L10" i="8"/>
  <c r="D26" i="18"/>
  <c r="E26" i="18" s="1"/>
  <c r="G8" i="8"/>
  <c r="C9" i="18"/>
  <c r="E9" i="18" s="1"/>
  <c r="G9" i="8"/>
  <c r="C10" i="18"/>
  <c r="E10" i="18" s="1"/>
  <c r="G11" i="8"/>
  <c r="C12" i="18"/>
  <c r="E12" i="18" s="1"/>
  <c r="G12" i="8"/>
  <c r="C13" i="18"/>
  <c r="E13" i="18" s="1"/>
  <c r="C14" i="8"/>
  <c r="C14" i="7"/>
  <c r="E30" i="18" l="1"/>
  <c r="D30" i="18"/>
  <c r="C17" i="7"/>
  <c r="C19" i="7" s="1"/>
  <c r="C4" i="11"/>
  <c r="C15" i="18"/>
  <c r="Q39" i="3" s="1"/>
  <c r="Q45" i="3" s="1"/>
  <c r="F7" i="8"/>
  <c r="F13" i="8"/>
  <c r="F6" i="8"/>
  <c r="C5" i="11" l="1"/>
  <c r="D21" i="11" s="1"/>
  <c r="C25" i="11"/>
  <c r="D25" i="11" s="1"/>
  <c r="G7" i="8"/>
  <c r="D8" i="18"/>
  <c r="E8" i="18" s="1"/>
  <c r="G6" i="8"/>
  <c r="D7" i="18"/>
  <c r="E7" i="18" s="1"/>
  <c r="G13" i="8"/>
  <c r="D14" i="18"/>
  <c r="E14" i="18" s="1"/>
  <c r="D14" i="8"/>
  <c r="D23" i="8" l="1"/>
  <c r="D41" i="1"/>
  <c r="D24" i="8" l="1"/>
  <c r="E10" i="8"/>
  <c r="F10" i="8" s="1"/>
  <c r="F5" i="8"/>
  <c r="D6" i="18" s="1"/>
  <c r="E6" i="18" l="1"/>
  <c r="G10" i="8"/>
  <c r="D11" i="18"/>
  <c r="E11" i="18" s="1"/>
  <c r="F14" i="8"/>
  <c r="G5" i="8"/>
  <c r="L14" i="8" s="1"/>
  <c r="G14" i="8" l="1"/>
  <c r="E15" i="18"/>
  <c r="D1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tc={08FDBB7B-1C2A-4B25-87EE-E5D1E2497356}</author>
    <author>tc={CD0EAA3A-8612-41AC-AEA9-2402CC95F0F9}</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Will potentially include roof repairs in scope.</t>
      </text>
    </comment>
    <comment ref="L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I26" authorId="2" shapeId="0" xr:uid="{08FDBB7B-1C2A-4B25-87EE-E5D1E2497356}">
      <text>
        <t>[Threaded comment]
Your version of Excel allows you to read this threaded comment; however, any edits to it will get removed if the file is opened in a newer version of Excel. Learn more: https://go.microsoft.com/fwlink/?linkid=870924
Comment:
    Coordinating with EHS, may change direction.</t>
      </text>
    </comment>
    <comment ref="L28" authorId="3"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List>
</comments>
</file>

<file path=xl/sharedStrings.xml><?xml version="1.0" encoding="utf-8"?>
<sst xmlns="http://schemas.openxmlformats.org/spreadsheetml/2006/main" count="1155" uniqueCount="359">
  <si>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</si>
  <si>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</si>
  <si>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</si>
  <si>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</si>
  <si>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</si>
  <si>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</si>
  <si>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</si>
  <si>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</si>
  <si>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</si>
  <si>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</si>
  <si>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</si>
  <si>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</si>
  <si>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</si>
  <si>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</si>
  <si>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</si>
  <si>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</si>
  <si>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</si>
  <si>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</si>
  <si>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</si>
  <si>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</si>
  <si>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</si>
  <si>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</si>
  <si>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</si>
  <si>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</si>
  <si>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</si>
  <si>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</si>
  <si>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</si>
  <si>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</si>
  <si>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</si>
  <si>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</si>
  <si>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</si>
  <si>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</si>
  <si>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</si>
  <si>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</si>
  <si>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</si>
  <si>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</si>
  <si>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</si>
  <si>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</si>
  <si>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</si>
  <si>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</si>
  <si>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</si>
  <si>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</si>
  <si>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</si>
  <si>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</si>
  <si>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</si>
  <si>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</si>
  <si>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</si>
  <si>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</si>
  <si>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</si>
  <si>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</si>
  <si>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</si>
  <si>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</si>
  <si>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</si>
  <si>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</si>
  <si>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</si>
  <si>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</si>
  <si>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</si>
  <si>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</si>
  <si>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</si>
  <si>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</si>
  <si>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</si>
  <si>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</si>
  <si>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</si>
  <si>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</si>
  <si>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</si>
  <si>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</si>
  <si>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</si>
  <si>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</si>
  <si>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</si>
  <si>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</si>
  <si>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</si>
  <si>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</si>
  <si>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</si>
  <si>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</si>
  <si>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</si>
  <si>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</si>
  <si>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</si>
  <si>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</si>
  <si>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</si>
  <si>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</si>
  <si>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</si>
  <si>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</si>
  <si>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</si>
  <si>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</si>
  <si>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</si>
  <si>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</si>
  <si>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</si>
  <si>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</si>
  <si>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</si>
  <si>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</si>
  <si>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</si>
  <si>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</si>
  <si>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</si>
  <si>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</si>
  <si>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</si>
  <si>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</si>
  <si>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</si>
  <si>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</si>
  <si>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</si>
  <si>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</si>
  <si>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</si>
  <si>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</si>
  <si>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</si>
  <si>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</si>
  <si>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</si>
  <si>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</si>
  <si>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</si>
  <si>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</si>
  <si>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</si>
  <si>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</si>
  <si>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</si>
  <si>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</si>
  <si>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</si>
  <si>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</si>
  <si>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</si>
  <si>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Law School</t>
  </si>
  <si>
    <t>One Magnolia Circle</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</si>
  <si>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</si>
  <si>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</si>
  <si>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</si>
  <si>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</si>
  <si>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</si>
  <si>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</si>
  <si>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</si>
  <si>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</si>
  <si>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</si>
  <si>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</si>
  <si>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</si>
  <si>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</si>
  <si>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</si>
  <si>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</si>
  <si>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</si>
  <si>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</si>
  <si>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</si>
  <si>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</si>
  <si>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</si>
  <si>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</si>
  <si>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</si>
  <si>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</si>
  <si>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</si>
  <si>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</si>
  <si>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</si>
  <si>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</si>
  <si>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Journal entries to be processed</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</si>
  <si>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</si>
  <si>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</si>
  <si>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</si>
  <si>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</si>
  <si>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</si>
  <si>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</si>
  <si>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</si>
  <si>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</si>
  <si>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</si>
  <si>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</si>
  <si>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</si>
  <si>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</si>
  <si>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</si>
  <si>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</si>
  <si>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</si>
  <si>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</si>
  <si>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</si>
  <si>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</si>
  <si>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</si>
  <si>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</si>
  <si>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</si>
  <si>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</si>
  <si>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</si>
  <si>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</si>
  <si>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</si>
  <si>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</si>
  <si>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</si>
  <si>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</si>
  <si>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</si>
  <si>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</si>
  <si>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</si>
  <si>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Godchaux Hall</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</si>
  <si>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</si>
  <si>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</si>
  <si>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</si>
  <si>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</si>
  <si>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</si>
  <si>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</si>
  <si>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</si>
  <si>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</si>
  <si>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</si>
  <si>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</si>
  <si>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</si>
  <si>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</si>
  <si>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</si>
  <si>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</si>
  <si>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</si>
  <si>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Air Handling Unit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</si>
  <si>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</si>
  <si>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</si>
  <si>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</si>
  <si>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</si>
  <si>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</si>
  <si>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</si>
  <si>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(less) tbd</t>
  </si>
  <si>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</si>
  <si>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</si>
  <si>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</si>
  <si>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</si>
  <si>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</si>
  <si>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</si>
  <si>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</si>
  <si>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</si>
  <si>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</si>
  <si>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</si>
  <si>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</si>
  <si>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</si>
  <si>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</si>
  <si>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</si>
  <si>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</si>
  <si>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</si>
  <si>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</si>
  <si>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</si>
  <si>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</si>
  <si>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Projects to be added</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</si>
  <si>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</si>
  <si>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</si>
  <si>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</si>
  <si>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</si>
  <si>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</si>
  <si>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</si>
  <si>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</si>
  <si>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</si>
  <si>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</si>
  <si>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</si>
  <si>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</si>
  <si>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</si>
  <si>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</si>
  <si>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 xml:space="preserve">Estimated 
FY23 FRP </t>
  </si>
  <si>
    <t>crowhus_11302022_FRP</t>
  </si>
  <si>
    <t>to be covered by Dean of Students (DOS) BAC-8</t>
  </si>
  <si>
    <t>CP_400175</t>
  </si>
  <si>
    <t>Capex / Opex</t>
  </si>
  <si>
    <t>Total program - FY23</t>
  </si>
  <si>
    <t>Blair School of Music - Steam Line</t>
  </si>
  <si>
    <t>CP_400178</t>
  </si>
  <si>
    <t>crowhus_12312022_FRP</t>
  </si>
  <si>
    <t>Warranty / Construction Closeout</t>
  </si>
  <si>
    <t>MRB III 4th Floor - Replace Controls (Phase 2)</t>
  </si>
  <si>
    <t>CP_400182</t>
  </si>
  <si>
    <t>Bryan Building - Swing Space Renovation - A&amp;S Planning</t>
  </si>
  <si>
    <t>Cathy Bartlett</t>
  </si>
  <si>
    <t>CP_400183</t>
  </si>
  <si>
    <t>CP_400185</t>
  </si>
  <si>
    <t>crowhus_01312023_FRP</t>
  </si>
  <si>
    <t xml:space="preserve">design to be covered by A&amp;S </t>
  </si>
  <si>
    <t>Wyatt Center - Window Replacement</t>
  </si>
  <si>
    <t>SC-7 Chemistry - SG-1 Removal and Connection to Central Plant Steam</t>
  </si>
  <si>
    <t>OWEN GRAD MGMT</t>
  </si>
  <si>
    <t>FY23 FRP Cash Transferred</t>
  </si>
  <si>
    <t>BRYAN BLDG</t>
  </si>
  <si>
    <t>FY23 FRP Estimated</t>
  </si>
  <si>
    <t>FY24 FRP Estimated</t>
  </si>
  <si>
    <t>FY23 FRP Total Contribution</t>
  </si>
  <si>
    <t>FY23 FRP Forecast</t>
  </si>
  <si>
    <t>FY23 estimated FRP funding 
for Projects</t>
  </si>
  <si>
    <t>FY23 revised estimated FRP</t>
  </si>
  <si>
    <t>Contribution vs. FY23 FRP funding</t>
  </si>
  <si>
    <t xml:space="preserve">Estimated 
FY24 FRP </t>
  </si>
  <si>
    <t>Estimated FRP</t>
  </si>
  <si>
    <t>Contribution vs. Estimated</t>
  </si>
  <si>
    <t>Total program - FY24</t>
  </si>
  <si>
    <t>FY24 estimated FRP funding 
for Projects</t>
  </si>
  <si>
    <t>FY24 revised estimated FRP</t>
  </si>
  <si>
    <t>Contribution vs. FY24 FRP funding</t>
  </si>
  <si>
    <t>FY23 
Contribution</t>
  </si>
  <si>
    <t>FY24 
Contribution</t>
  </si>
  <si>
    <t>CP_400187</t>
  </si>
  <si>
    <t>crowhus_02282023_FRP</t>
  </si>
  <si>
    <t>Collections</t>
  </si>
  <si>
    <t>Transferred</t>
  </si>
  <si>
    <t>Remaining</t>
  </si>
  <si>
    <t>To be moved</t>
  </si>
  <si>
    <t>Owen - Roof Replacement (Third Level)</t>
  </si>
  <si>
    <t>CP_400192</t>
  </si>
  <si>
    <t>CP_400174</t>
  </si>
  <si>
    <t>BUTTRICK HALL</t>
  </si>
  <si>
    <t>Buttrick Hall - 3rd Floor Inequality Renovations</t>
  </si>
  <si>
    <t>Erin Fry</t>
  </si>
  <si>
    <t>SIX MAGNOLIA CIRCLE</t>
  </si>
  <si>
    <t>Six Magnolia Circle - Foundation Repairs</t>
  </si>
  <si>
    <t>Not Started</t>
  </si>
  <si>
    <t>Godchaux - replace roof [Ben] - wait until after HVAC project completed, FY25</t>
  </si>
  <si>
    <t>SC4 - Interstitial Space HVAC Modifications</t>
  </si>
  <si>
    <t>Owen - Roof Replacement (Slate Portion)</t>
  </si>
  <si>
    <t>Financial Closeout</t>
  </si>
  <si>
    <t>MRB III 4,5,8,9th Floor - Replace Controls (Phase 3)</t>
  </si>
  <si>
    <t>03/22/2023 Project is in closeout.</t>
  </si>
  <si>
    <t>03/24/2023 Summer 2024 project.  Bidding process will start closer to summer 2023 to allow 6 months for slate production.  Project will more than likely take longer than summer break and will need to start during school.</t>
  </si>
  <si>
    <t>Total transfers from FRP cash</t>
  </si>
  <si>
    <t>crowhus_03312023_FRP</t>
  </si>
  <si>
    <t>Chris to provide next priority projects to add to list (elevators, roofs, etc.)</t>
  </si>
  <si>
    <t>CP_400198</t>
  </si>
  <si>
    <t>Keck FEL - Roof Replacement</t>
  </si>
  <si>
    <t>03/24/2023 Working with appropriate parties to determine scope of work.</t>
  </si>
  <si>
    <t>Project Status'!A1</t>
  </si>
  <si>
    <t>JE LOG_FY23'!A1</t>
  </si>
  <si>
    <t>FY25 FRP Estimated</t>
  </si>
  <si>
    <t>FY23-x</t>
  </si>
  <si>
    <t>FY24-x</t>
  </si>
  <si>
    <t>FY25-x</t>
  </si>
  <si>
    <t>crowhus_04302023_FRP</t>
  </si>
  <si>
    <t>Godchaux Hall - HVAC Upgrade</t>
  </si>
  <si>
    <t>Law School - Fire Alarm System Replacement</t>
  </si>
  <si>
    <t>Divinity - AHU 5N (5 &amp; 6) Replacement</t>
  </si>
  <si>
    <t>Divinity - AHU 1N (1&amp;3) Replacement with Benton</t>
  </si>
  <si>
    <t>LAW SCHOOL</t>
  </si>
  <si>
    <t>Law School - Sections 1, 2, &amp; 3  Roof Replacement</t>
  </si>
  <si>
    <t>05/01/2023 Construction documents are complete. CDs have been submitted for permit and contractor proposals are due 5/2. Construction is expected to start in May and complete for tenants to occupy the building in August 2023.</t>
  </si>
  <si>
    <t>MRB III - roof repairs?</t>
  </si>
  <si>
    <t>SC-7 roof work in conjunction with CUI?</t>
  </si>
  <si>
    <t>Sam to email group in late July to announce (1) website (2) guidance and (3) FY24 collections</t>
  </si>
  <si>
    <t>BAC-3 (partial)</t>
  </si>
  <si>
    <t>crowhus_05312023_FRP</t>
  </si>
  <si>
    <t>Peabody Administration - Envelope Repairs</t>
  </si>
  <si>
    <t>SC-5 - Chemical Discharge Replacement</t>
  </si>
  <si>
    <t>05/23/2023 Year End Warranty Walkthrough set for 12/04/2023 at 2:30</t>
  </si>
  <si>
    <t>05/30/2023 Project will be bid out this summer for FY24 construction</t>
  </si>
  <si>
    <t>05/24/2023 Work is complete. Fire Marshal asked that a radio antennae be installed, but did not make it a condition of completion.</t>
  </si>
  <si>
    <t>05/22/2023 Construction started on the new elevator mechanical room.  Once room is completed, elevator modernization to start.</t>
  </si>
  <si>
    <t>05/22/2023 FM Sylvan had been awarded the project. An LOI is currently being signed. Construction start is set for January 2024.</t>
  </si>
  <si>
    <t>05/22/2023 Design meetings continue...a document page flip is set for 06/05/23.</t>
  </si>
  <si>
    <t>05/22/2023 Windows to ship on 05/30.  Once received, windows will be installed ASAP.</t>
  </si>
  <si>
    <t>05/22/2023 Window repairs from the 3rd floor down has started.  New window installation on the 4th floor to begin on 06/12/2023</t>
  </si>
  <si>
    <t>05/23/2023 Construction has started. Contractors are working from the top level down removing old VAVs and replacing one at a time.</t>
  </si>
  <si>
    <t>05/22/2023 Staging and preparing the space for the elevators has started.  Construction to start on 06/12 and go for two weeks on the penthouse elevator.</t>
  </si>
  <si>
    <t>05/22/2023 Materials have been delivered on 05/17.  Construction started 05/22.</t>
  </si>
  <si>
    <t>05/23/2023 Construction is ongoing. 1 AHU has had the coils replaced and they are currently working on the 2nd AHU, in the loading dock are now.</t>
  </si>
  <si>
    <t>05/22/2023 Window work has been completed.  Roof replacement to start on 05/22.</t>
  </si>
  <si>
    <t>05/22/2023 PO process has started.</t>
  </si>
  <si>
    <t>05/24/2023 We are awaiting OPR packet from CX. Design team has pulled together a recommendation letter and begun some work on the initial design.</t>
  </si>
  <si>
    <t>05/24/2023 Awaitin OPR packet from CX. We will have a walkthrough this month with the design team and they will begin initial design.</t>
  </si>
  <si>
    <t>05/23/2023 First page flip has been completed on the design. We will have a second page flip in June with the lab occupants to iron out the lower level requirements. We will be trying to get fire departments signal testing done this summer, we are awaiting a proposal from a contractor.</t>
  </si>
  <si>
    <t>05/23/2023 Construction has started. Sylvan has welded up the condensate return and replaced the steam supply valve. Domestic water in the are has been capped. SG 1 has been disconnected and demo has started.</t>
  </si>
  <si>
    <t>05/30/2023 We have reached out to EHS to see if they can test the water entering the tank, and may be changing the scope depending on those results.</t>
  </si>
  <si>
    <t>05/22/2023 Construction started on 05/15.</t>
  </si>
  <si>
    <t>05/23/2023 Demo to begin on 5/30/23. Construction to be complete late July.</t>
  </si>
  <si>
    <t>05/23/2023 Project to be bid July 2023.</t>
  </si>
  <si>
    <t>05/22/2023 Design meetings continue.</t>
  </si>
  <si>
    <t>05/22/2023 Construction to start once SLC roof is complete.  Awaiting proposed start date.</t>
  </si>
  <si>
    <t>05/23/2023 We have received a quote for the grout injection. I have walked the exterior with a landscape contractor who is getting us a quote in May for hydro excavation and plant replacement. Project is slated for FY 24.</t>
  </si>
  <si>
    <t>05/30/2023 Sylvan has installed ductwork and has been working on getting the VAV and electrical installed. Project i son track.</t>
  </si>
  <si>
    <t>05/22/2023 Project has been approved.  PO process has officially started.</t>
  </si>
  <si>
    <t>05/22/2023 Project on hold until FRP funding available FY25 or FY26</t>
  </si>
  <si>
    <t>Add tab about general guidance for shared projects (Bryan Building example) and opex project FAQs</t>
  </si>
  <si>
    <t>VAV controls only</t>
  </si>
  <si>
    <t>CP_400206</t>
  </si>
  <si>
    <t xml:space="preserve">work to be covered by A&amp;S </t>
  </si>
  <si>
    <t>FY 2023</t>
  </si>
  <si>
    <t>FRP Funding</t>
  </si>
  <si>
    <t>Estimated</t>
  </si>
  <si>
    <t>FY 2024</t>
  </si>
  <si>
    <t>FRP Collection</t>
  </si>
  <si>
    <t>Closeout</t>
  </si>
  <si>
    <t>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</si>
</sst>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s>
  <fonts count="23"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s>
  <fills count="34">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4" tint="-0.249977111117893"/>
        <bgColor indexed="64"/>
      </patternFill>
    </fill>
    <fill>
      <patternFill patternType="solid">
        <fgColor theme="2" tint="-0.249977111117893"/>
        <bgColor indexed="64"/>
      </patternFill>
    </fill>
    <fill>
      <patternFill patternType="solid">
        <fgColor theme="2"/>
        <bgColor indexed="64"/>
      </patternFill>
    </fill>
    <fill>
      <patternFill patternType="solid">
        <fgColor theme="6"/>
      </patternFill>
    </fill>
    <fill>
      <patternFill patternType="solid">
        <fgColor theme="5" tint="0.59999389629810485"/>
        <bgColor indexed="64"/>
      </patternFill>
    </fill>
    <fill>
      <patternFill patternType="solid">
        <fgColor rgb="FFFFFF00"/>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s>
  <borders count="14">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6" borderId="0" applyNumberFormat="0" applyBorder="0" applyAlignment="0" applyProtection="0"/>
    <xf numFmtId="0" fontId="20" fillId="0" borderId="0" applyNumberFormat="0" applyFill="0" applyBorder="0" applyAlignment="0" applyProtection="0"/>
    <xf numFmtId="0" fontId="2" fillId="29" borderId="0" applyNumberFormat="0" applyBorder="0" applyAlignment="0" applyProtection="0"/>
    <xf numFmtId="0" fontId="1" fillId="30" borderId="0" applyNumberFormat="0" applyBorder="0" applyAlignment="0" applyProtection="0"/>
    <xf numFmtId="0" fontId="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205">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8"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3" fontId="0" fillId="0" borderId="0" xfId="0" applyNumberFormat="1"/>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0" fillId="0" borderId="3" xfId="0" applyBorder="1"/>
    <xf numFmtId="0" fontId="12" fillId="0" borderId="0" xfId="0" applyFont="1" applyAlignment="1">
      <alignment horizontal="right"/>
    </xf>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165" fontId="0" fillId="5" borderId="0" xfId="2" applyNumberFormat="1" applyFont="1" applyFill="1"/>
    <xf numFmtId="165" fontId="0" fillId="11" borderId="0" xfId="2" applyNumberFormat="1" applyFont="1" applyFill="1"/>
    <xf numFmtId="165" fontId="0" fillId="7" borderId="0" xfId="2" applyNumberFormat="1"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164" fontId="0" fillId="5" borderId="0" xfId="1" applyNumberFormat="1" applyFont="1" applyFill="1"/>
    <xf numFmtId="164" fontId="0" fillId="11" borderId="0" xfId="1" applyNumberFormat="1" applyFont="1" applyFill="1"/>
    <xf numFmtId="164" fontId="0" fillId="7" borderId="0" xfId="1" applyNumberFormat="1" applyFont="1" applyFill="1"/>
    <xf numFmtId="0" fontId="0" fillId="0" borderId="0" xfId="0" quotePrefix="1" applyAlignment="1">
      <alignment horizontal="center"/>
    </xf>
    <xf numFmtId="44" fontId="0" fillId="0" borderId="0" xfId="2" applyFont="1" applyBorder="1" applyAlignment="1">
      <alignment wrapText="1"/>
    </xf>
    <xf numFmtId="44" fontId="0" fillId="0" borderId="0" xfId="2" quotePrefix="1" applyFont="1" applyAlignment="1">
      <alignment horizontal="center"/>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0" fontId="0" fillId="0" borderId="0" xfId="0" applyAlignment="1">
      <alignment horizontal="left" vertical="center" indent="1"/>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165" fontId="0" fillId="11" borderId="0" xfId="2" applyNumberFormat="1" applyFont="1" applyFill="1" applyAlignment="1">
      <alignment horizontal="right"/>
    </xf>
    <xf numFmtId="165" fontId="0" fillId="7" borderId="0" xfId="2" applyNumberFormat="1" applyFont="1" applyFill="1" applyAlignment="1">
      <alignment horizontal="right"/>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164" fontId="6" fillId="23" borderId="0" xfId="1" applyNumberFormat="1" applyFont="1" applyFill="1" applyBorder="1" applyAlignment="1">
      <alignment horizontal="center" vertical="center" wrapText="1" readingOrder="1"/>
    </xf>
    <xf numFmtId="164" fontId="3" fillId="10" borderId="6" xfId="1" applyNumberFormat="1" applyFont="1" applyFill="1" applyBorder="1" applyAlignment="1">
      <alignment horizontal="right" vertical="center" readingOrder="1"/>
    </xf>
    <xf numFmtId="164" fontId="8" fillId="10"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4" fontId="2" fillId="24" borderId="0" xfId="4" applyNumberFormat="1" applyFont="1" applyFill="1"/>
    <xf numFmtId="164" fontId="2" fillId="24" borderId="0" xfId="4" applyNumberFormat="1" applyFont="1" applyFill="1" applyAlignment="1">
      <alignment horizontal="center" wrapText="1"/>
    </xf>
    <xf numFmtId="168" fontId="2" fillId="24" borderId="0" xfId="4" applyNumberFormat="1" applyFont="1" applyFill="1"/>
    <xf numFmtId="164" fontId="6" fillId="24" borderId="0" xfId="4" applyNumberFormat="1" applyFont="1" applyFill="1"/>
    <xf numFmtId="165" fontId="6" fillId="24" borderId="0" xfId="4" applyNumberFormat="1" applyFont="1" applyFill="1"/>
    <xf numFmtId="165" fontId="0" fillId="25"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8" fontId="2" fillId="10" borderId="7" xfId="4" applyNumberFormat="1" applyFont="1" applyFill="1" applyBorder="1" applyAlignment="1">
      <alignment horizontal="center" wrapText="1"/>
    </xf>
    <xf numFmtId="168" fontId="2" fillId="6" borderId="8" xfId="4" applyNumberFormat="1" applyFont="1" applyFill="1" applyBorder="1" applyAlignment="1">
      <alignment horizontal="center" wrapText="1"/>
    </xf>
    <xf numFmtId="168" fontId="0" fillId="11" borderId="10" xfId="2" applyNumberFormat="1" applyFont="1" applyFill="1" applyBorder="1"/>
    <xf numFmtId="168" fontId="0" fillId="5" borderId="0" xfId="2" applyNumberFormat="1" applyFont="1" applyFill="1" applyBorder="1"/>
    <xf numFmtId="168" fontId="6" fillId="10" borderId="12" xfId="4" applyNumberFormat="1" applyFont="1" applyFill="1" applyBorder="1"/>
    <xf numFmtId="168" fontId="6" fillId="6" borderId="4"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164" fontId="12" fillId="0" borderId="0" xfId="1" applyNumberFormat="1" applyFont="1" applyBorder="1" applyAlignment="1">
      <alignment horizontal="right" vertical="center"/>
    </xf>
    <xf numFmtId="164" fontId="12" fillId="0" borderId="2"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49" fontId="13" fillId="16" borderId="0" xfId="6">
      <protection locked="0"/>
    </xf>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7" borderId="6" xfId="1" applyNumberFormat="1" applyFont="1" applyFill="1" applyBorder="1" applyAlignment="1">
      <alignment horizontal="right" vertical="center" readingOrder="1"/>
    </xf>
    <xf numFmtId="164" fontId="8" fillId="27" borderId="1" xfId="1" applyNumberFormat="1" applyFont="1" applyFill="1" applyBorder="1" applyAlignment="1">
      <alignment horizontal="right" vertical="center" readingOrder="1"/>
    </xf>
    <xf numFmtId="164" fontId="0" fillId="0" borderId="0" xfId="1" applyNumberFormat="1" applyFont="1" applyFill="1" applyBorder="1" applyAlignment="1">
      <alignment vertical="center"/>
    </xf>
    <xf numFmtId="164" fontId="8" fillId="0" borderId="1" xfId="1" applyNumberFormat="1" applyFont="1" applyFill="1" applyBorder="1" applyAlignment="1">
      <alignment horizontal="right" vertical="center" readingOrder="1"/>
    </xf>
    <xf numFmtId="164" fontId="3" fillId="0" borderId="6" xfId="1" applyNumberFormat="1" applyFont="1" applyFill="1" applyBorder="1" applyAlignment="1">
      <alignment horizontal="center" vertical="center" readingOrder="1"/>
    </xf>
    <xf numFmtId="0" fontId="21" fillId="0" borderId="0" xfId="0" applyFont="1" applyAlignment="1">
      <alignment horizontal="left" vertical="center" indent="1"/>
    </xf>
    <xf numFmtId="49" fontId="13" fillId="0" borderId="0" xfId="6" applyFill="1">
      <protection locked="0"/>
    </xf>
    <xf numFmtId="0" fontId="3" fillId="28" borderId="6" xfId="0" applyFont="1" applyFill="1" applyBorder="1" applyAlignment="1">
      <alignment horizontal="left" vertical="center" readingOrder="1"/>
    </xf>
    <xf numFmtId="164" fontId="0" fillId="0" borderId="0" xfId="0" applyNumberFormat="1"/>
    <xf numFmtId="0" fontId="1" fillId="32" borderId="0" xfId="14"/>
    <xf numFmtId="164" fontId="1" fillId="32" borderId="0" xfId="14" applyNumberFormat="1"/>
    <xf numFmtId="164" fontId="2" fillId="31" borderId="0" xfId="13" applyNumberFormat="1"/>
    <xf numFmtId="0" fontId="1" fillId="33" borderId="0" xfId="15"/>
    <xf numFmtId="164" fontId="1" fillId="33"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9" borderId="0" xfId="11" applyNumberFormat="1"/>
    <xf numFmtId="0" fontId="1" fillId="30" borderId="0" xfId="12"/>
    <xf numFmtId="164" fontId="1" fillId="30" borderId="0" xfId="12" applyNumberFormat="1"/>
    <xf numFmtId="0" fontId="2" fillId="31" borderId="0" xfId="13" applyAlignment="1">
      <alignment horizontal="center"/>
    </xf>
    <xf numFmtId="0" fontId="2" fillId="2" borderId="0" xfId="3" applyAlignment="1">
      <alignment horizontal="center"/>
    </xf>
    <xf numFmtId="0" fontId="2" fillId="29" borderId="0" xfId="11" applyAlignment="1">
      <alignment horizontal="center"/>
    </xf>
    <xf numFmtId="164" fontId="2" fillId="31" borderId="0" xfId="13" applyNumberFormat="1" applyAlignment="1">
      <alignment horizontal="center" vertical="center"/>
    </xf>
    <xf numFmtId="164" fontId="2" fillId="2" borderId="0" xfId="3" applyNumberFormat="1" applyAlignment="1">
      <alignment horizontal="center" vertical="center"/>
    </xf>
    <xf numFmtId="164" fontId="2" fillId="29" borderId="0" xfId="11" applyNumberFormat="1" applyAlignment="1">
      <alignment horizontal="center" vertical="center"/>
    </xf>
    <xf numFmtId="0" fontId="22" fillId="31"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cellXfs>
  <cellStyles count="16">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FormEntry_noborder" xfId="6" xr:uid="{EE5CD5B0-8E1E-4EAB-8BDD-ECDB51721DA7}"/>
    <cellStyle name="Comma" xfId="1" builtinId="3"/>
    <cellStyle name="Currency" xfId="2" builtinId="4"/>
    <cellStyle name="Hyperlink" xfId="10" builtinId="8"/>
    <cellStyle name="Normal" xfId="0" builtinId="0"/>
    <cellStyle name="Percent" xfId="7" builtinId="5"/>
    <cellStyle name="wr_6" xfId="8" xr:uid="{BE1B80FF-AE88-4CBE-B42C-9E9B452B9C7F}"/>
  </cellStyles>
  <dxfs count="0"/>
  <tableStyles count="0" defaultTableStyle="TableStyleMedium2" defaultPivotStyle="PivotStyleLight16"/>
  <colors>
    <mruColors>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microsoft.com/office/2007/relationships/slicerCache" Target="slicerCaches/slicerCache1.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07/relationships/slicerCache" Target="slicerCaches/slicerCache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microsoft.com/office/2007/relationships/slicerCache" Target="slicerCaches/slicerCache2.xml"/><Relationship Id="rId48"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12</xdr:col>
      <xdr:colOff>306163</xdr:colOff>
      <xdr:row>4</xdr:row>
      <xdr:rowOff>84363</xdr:rowOff>
    </xdr:from>
    <xdr:to>
      <xdr:col>14</xdr:col>
      <xdr:colOff>608226</xdr:colOff>
      <xdr:row>11</xdr:row>
      <xdr:rowOff>65383</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1469463" y="812345"/>
              <a:ext cx="1616514" cy="12464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317042</xdr:colOff>
      <xdr:row>4</xdr:row>
      <xdr:rowOff>95248</xdr:rowOff>
    </xdr:from>
    <xdr:to>
      <xdr:col>12</xdr:col>
      <xdr:colOff>46160</xdr:colOff>
      <xdr:row>34</xdr:row>
      <xdr:rowOff>28575</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8850081" y="821870"/>
              <a:ext cx="2362161" cy="452982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55788</xdr:colOff>
      <xdr:row>4</xdr:row>
      <xdr:rowOff>87086</xdr:rowOff>
    </xdr:from>
    <xdr:to>
      <xdr:col>8</xdr:col>
      <xdr:colOff>54429</xdr:colOff>
      <xdr:row>19</xdr:row>
      <xdr:rowOff>104776</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6618513" y="808264"/>
              <a:ext cx="1973037" cy="258263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2624770</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15</xdr:col>
      <xdr:colOff>213222</xdr:colOff>
      <xdr:row>58</xdr:row>
      <xdr:rowOff>7750</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22</xdr:row>
      <xdr:rowOff>31296</xdr:rowOff>
    </xdr:from>
    <xdr:to>
      <xdr:col>8</xdr:col>
      <xdr:colOff>520536</xdr:colOff>
      <xdr:row>43</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14</xdr:col>
      <xdr:colOff>500316</xdr:colOff>
      <xdr:row>58</xdr:row>
      <xdr:rowOff>7748</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17</xdr:col>
      <xdr:colOff>472319</xdr:colOff>
      <xdr:row>58</xdr:row>
      <xdr:rowOff>11832</xdr:rowOff>
    </xdr:to>
    <xdr:pic>
      <xdr:nvPicPr>
        <xdr:cNvPr id="2" name="Picture 1">
          <a:extLst>
            <a:ext uri="{FF2B5EF4-FFF2-40B4-BE49-F238E27FC236}">
              <a16:creationId xmlns:a16="http://schemas.microsoft.com/office/drawing/2014/main" id="{7E69CEF5-3453-4CBD-BA31-819B334527BF}"/>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74840</xdr:colOff>
      <xdr:row>21</xdr:row>
      <xdr:rowOff>57150</xdr:rowOff>
    </xdr:from>
    <xdr:to>
      <xdr:col>12</xdr:col>
      <xdr:colOff>210250</xdr:colOff>
      <xdr:row>29</xdr:row>
      <xdr:rowOff>65514</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74840" y="3857625"/>
          <a:ext cx="12525771" cy="1458885"/>
        </a:xfrm>
        <a:prstGeom prst="rect">
          <a:avLst/>
        </a:prstGeom>
        <a:ln w="19050">
          <a:solidFill>
            <a:schemeClr val="accent3"/>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133583</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134922</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19271</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28</xdr:row>
      <xdr:rowOff>129268</xdr:rowOff>
    </xdr:from>
    <xdr:to>
      <xdr:col>17</xdr:col>
      <xdr:colOff>11443</xdr:colOff>
      <xdr:row>37</xdr:row>
      <xdr:rowOff>56166</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38</xdr:row>
      <xdr:rowOff>0</xdr:rowOff>
    </xdr:from>
    <xdr:to>
      <xdr:col>17</xdr:col>
      <xdr:colOff>0</xdr:colOff>
      <xdr:row>46</xdr:row>
      <xdr:rowOff>94367</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47</xdr:row>
      <xdr:rowOff>38100</xdr:rowOff>
    </xdr:from>
    <xdr:to>
      <xdr:col>17</xdr:col>
      <xdr:colOff>0</xdr:colOff>
      <xdr:row>55</xdr:row>
      <xdr:rowOff>122668</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56</xdr:row>
      <xdr:rowOff>66675</xdr:rowOff>
    </xdr:from>
    <xdr:to>
      <xdr:col>16</xdr:col>
      <xdr:colOff>579656</xdr:colOff>
      <xdr:row>64</xdr:row>
      <xdr:rowOff>46466</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64</xdr:row>
      <xdr:rowOff>152400</xdr:rowOff>
    </xdr:from>
    <xdr:to>
      <xdr:col>16</xdr:col>
      <xdr:colOff>608240</xdr:colOff>
      <xdr:row>73</xdr:row>
      <xdr:rowOff>94472</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74</xdr:row>
      <xdr:rowOff>47625</xdr:rowOff>
    </xdr:from>
    <xdr:to>
      <xdr:col>16</xdr:col>
      <xdr:colOff>602248</xdr:colOff>
      <xdr:row>83</xdr:row>
      <xdr:rowOff>7025</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83</xdr:row>
      <xdr:rowOff>133350</xdr:rowOff>
    </xdr:from>
    <xdr:to>
      <xdr:col>16</xdr:col>
      <xdr:colOff>588637</xdr:colOff>
      <xdr:row>92</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92</xdr:row>
      <xdr:rowOff>161925</xdr:rowOff>
    </xdr:from>
    <xdr:to>
      <xdr:col>16</xdr:col>
      <xdr:colOff>570943</xdr:colOff>
      <xdr:row>101</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102</xdr:row>
      <xdr:rowOff>23724</xdr:rowOff>
    </xdr:from>
    <xdr:to>
      <xdr:col>17</xdr:col>
      <xdr:colOff>2917</xdr:colOff>
      <xdr:row>110</xdr:row>
      <xdr:rowOff>46392</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077.660234490744" createdVersion="8" refreshedVersion="8" minRefreshableVersion="3" recordCount="32" xr:uid="{8B1AAAD2-B19E-406F-8988-E260C98BA28D}">
  <cacheSource type="worksheet">
    <worksheetSource ref="B3:Y35" sheet="Project Status"/>
  </cacheSource>
  <cacheFields count="24">
    <cacheField name="Capex / Opex" numFmtId="0">
      <sharedItems count="3">
        <s v="Operating"/>
        <s v="Capital"/>
        <s v="TBD"/>
      </sharedItems>
    </cacheField>
    <cacheField name="eBuilder" numFmtId="0">
      <sharedItems containsSemiMixedTypes="0" containsString="0" containsNumber="1" containsInteger="1" minValue="10085" maxValue="20792"/>
    </cacheField>
    <cacheField name="AiM" numFmtId="0">
      <sharedItems containsString="0" containsBlank="1" containsNumber="1" containsInteger="1" minValue="529" maxValue="36015"/>
    </cacheField>
    <cacheField name="Oracle" numFmtId="0">
      <sharedItems containsBlank="1"/>
    </cacheField>
    <cacheField name="School" numFmtId="0">
      <sharedItems count="9">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haredItems>
    </cacheField>
    <cacheField name="Lookup" numFmtId="0">
      <sharedItems containsBlank="1" count="10">
        <s v="Peabody"/>
        <s v="SOM Basic Sciences"/>
        <s v="Nursing"/>
        <s v="Law"/>
        <s v="Blair"/>
        <s v="Divinity"/>
        <s v="Arts &amp; Science"/>
        <s v="Engineering"/>
        <s v="Owen"/>
        <m u="1"/>
      </sharedItems>
    </cacheField>
    <cacheField name="Building" numFmtId="0">
      <sharedItems count="19">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haredItems>
    </cacheField>
    <cacheField name="Project" numFmtId="0">
      <sharedItems count="34">
        <s v="One Magnolia Circle - Modify/Upgrade Electrical and Grounding"/>
        <s v="MRB III 4th Floor - Replace Controls (Phase 2)"/>
        <s v="Godchaux Hall - HVAC Upgrade"/>
        <s v="Law School - Fire Alarm System Replacement"/>
        <s v="Blair School of Music - Elevator #3 Modernization"/>
        <s v="Divinity - AHU 5N (5 &amp; 6) Replacement"/>
        <s v="Bryan Building - Swing Space Renovation - A&amp;S Planning"/>
        <s v="Divinity - AHU 1N (1&amp;3) Replacement with Benton"/>
        <s v="Jesup - Roof Replacement"/>
        <s v="Wyatt Center - Window Replacement"/>
        <s v="Wyatt Center - VAV Replacement"/>
        <s v="Keck FEL - Roof Replacement"/>
        <s v="SC Chemistry (SC7) - Elevator 1 &amp; 2 Modernization"/>
        <s v="Wyatt Center - Roof Replacement"/>
        <s v="MRB III - Steam Coil Replacement"/>
        <s v="Blair School of Music - Air Handling Unit Replacement"/>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4,5,8,9th Floor - Replace Controls (Phase 3)"/>
        <s v="Blair School of Music - Steam Line"/>
        <s v="Owen - Roof Replacement (Third Level)"/>
        <s v="Six Magnolia Circle - Foundation Repairs"/>
        <s v="SC4 - Interstitial Space HVAC Modifications"/>
        <s v="Owen - Roof Replacement (Slate Portion)"/>
        <s v="Law School - Sections 1, 2, &amp; 3  Roof Replacement"/>
        <s v="SC5 - Chemical Discharge Replacement" u="1"/>
        <s v="Peabody Administration - Envelope Repairs - FY23 FR" u="1"/>
      </sharedItems>
    </cacheField>
    <cacheField name="Phase" numFmtId="0">
      <sharedItems count="8">
        <s v="Financial Closeout"/>
        <s v="Warranty / Construction Closeout"/>
        <s v="Design"/>
        <s v="Construction"/>
        <s v="Bidding"/>
        <s v="Not Started"/>
        <s v="Award"/>
        <s v="Programming / Planning"/>
      </sharedItems>
    </cacheField>
    <cacheField name="Manager" numFmtId="0">
      <sharedItems/>
    </cacheField>
    <cacheField name="Estimated total budget" numFmtId="164">
      <sharedItems containsString="0" containsBlank="1" containsNumber="1" minValue="17500" maxValue="4500000"/>
    </cacheField>
    <cacheField name="Approved budget" numFmtId="164">
      <sharedItems containsSemiMixedTypes="0" containsString="0" containsNumber="1" minValue="0" maxValue="1445389"/>
    </cacheField>
    <cacheField name="Approved commitments" numFmtId="164">
      <sharedItems containsSemiMixedTypes="0" containsString="0" containsNumber="1" minValue="0" maxValue="1352423.14"/>
    </cacheField>
    <cacheField name="Projected commitments" numFmtId="164">
      <sharedItems containsSemiMixedTypes="0" containsString="0" containsNumber="1" minValue="0" maxValue="1352423.14"/>
    </cacheField>
    <cacheField name="Invoices Approved" numFmtId="164">
      <sharedItems containsSemiMixedTypes="0" containsString="0" containsNumber="1" minValue="0" maxValue="1352423.14"/>
    </cacheField>
    <cacheField name="FY23 FRP Cash Transferred" numFmtId="164">
      <sharedItems containsSemiMixedTypes="0" containsString="0" containsNumber="1" minValue="0" maxValue="1232681"/>
    </cacheField>
    <cacheField name="FY23 FRP Estimated" numFmtId="164">
      <sharedItems containsSemiMixedTypes="0" containsString="0" containsNumber="1" containsInteger="1" minValue="0" maxValue="0"/>
    </cacheField>
    <cacheField name="FY23 FRP Total Contribution" numFmtId="164">
      <sharedItems containsSemiMixedTypes="0" containsString="0" containsNumber="1" minValue="0" maxValue="1232681"/>
    </cacheField>
    <cacheField name="FY24 FRP Estimated" numFmtId="164">
      <sharedItems containsMixedTypes="1" containsNumber="1" containsInteger="1" minValue="0" maxValue="4000000"/>
    </cacheField>
    <cacheField name="FY25 FRP Estimated" numFmtId="164">
      <sharedItems containsMixedTypes="1" containsNumber="1" containsInteger="1" minValue="0" maxValue="0"/>
    </cacheField>
    <cacheField name="FY23-x" numFmtId="164">
      <sharedItems count="2">
        <s v="yes"/>
        <s v="no"/>
      </sharedItems>
    </cacheField>
    <cacheField name="FY24-x" numFmtId="164">
      <sharedItems count="2">
        <s v="no"/>
        <s v="yes"/>
      </sharedItems>
    </cacheField>
    <cacheField name="FY25-x" numFmtId="164">
      <sharedItems count="2">
        <s v="no"/>
        <s v="yes"/>
      </sharedItems>
    </cacheField>
    <cacheField name="Project status update" numFmtId="0">
      <sharedItems longText="1"/>
    </cacheField>
  </cacheFields>
  <extLst>
    <ext xmlns:x14="http://schemas.microsoft.com/office/spreadsheetml/2009/9/main" uri="{725AE2AE-9491-48be-B2B4-4EB974FC3084}">
      <x14:pivotCacheDefinition pivotCacheId="165223520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
  <r>
    <x v="0"/>
    <n v="10085"/>
    <n v="4591"/>
    <m/>
    <x v="0"/>
    <x v="0"/>
    <x v="0"/>
    <x v="0"/>
    <x v="0"/>
    <s v="Sean Rewers"/>
    <n v="17500"/>
    <n v="22000"/>
    <n v="17500"/>
    <n v="17500"/>
    <n v="17500"/>
    <n v="22000"/>
    <n v="0"/>
    <n v="22000"/>
    <n v="0"/>
    <n v="0"/>
    <x v="0"/>
    <x v="0"/>
    <x v="0"/>
    <s v="03/22/2023 Project is in closeout."/>
  </r>
  <r>
    <x v="1"/>
    <n v="10098"/>
    <n v="1627"/>
    <s v="CP_400023"/>
    <x v="1"/>
    <x v="1"/>
    <x v="1"/>
    <x v="1"/>
    <x v="1"/>
    <s v="Hans Mooy"/>
    <n v="1216485.5"/>
    <n v="1216485.5"/>
    <n v="1212059.54"/>
    <n v="1212059.54"/>
    <n v="1212059.54"/>
    <n v="1216485.5"/>
    <n v="0"/>
    <n v="1216485.5"/>
    <n v="0"/>
    <n v="0"/>
    <x v="0"/>
    <x v="0"/>
    <x v="0"/>
    <s v="05/23/2023 Year End Warranty Walkthrough set for 12/04/2023 at 2:30"/>
  </r>
  <r>
    <x v="1"/>
    <n v="10146"/>
    <n v="4418"/>
    <s v="CP_400025"/>
    <x v="2"/>
    <x v="2"/>
    <x v="2"/>
    <x v="2"/>
    <x v="2"/>
    <s v="Sean Rewers"/>
    <m/>
    <n v="62100"/>
    <n v="62100"/>
    <n v="62100"/>
    <n v="62100"/>
    <n v="4900"/>
    <n v="0"/>
    <n v="4900"/>
    <s v="TBD"/>
    <s v="TBD"/>
    <x v="0"/>
    <x v="1"/>
    <x v="1"/>
    <s v="05/30/2023 Project will be bid out this summer for FY24 construction"/>
  </r>
  <r>
    <x v="1"/>
    <n v="20179"/>
    <n v="36015"/>
    <s v="CP_400024"/>
    <x v="3"/>
    <x v="3"/>
    <x v="3"/>
    <x v="3"/>
    <x v="1"/>
    <s v="Bob Grummon"/>
    <n v="1445389"/>
    <n v="1445389"/>
    <n v="1352423.14"/>
    <n v="1352423.14"/>
    <n v="1352423.14"/>
    <n v="722694.5"/>
    <n v="0"/>
    <n v="722694.5"/>
    <n v="0"/>
    <n v="0"/>
    <x v="0"/>
    <x v="0"/>
    <x v="0"/>
    <s v="05/24/2023 Work is complete. Fire Marshal asked that a radio antennae be installed, but did not make it a condition of completion."/>
  </r>
  <r>
    <x v="1"/>
    <n v="20336"/>
    <n v="20075"/>
    <s v="CP_400056"/>
    <x v="4"/>
    <x v="4"/>
    <x v="4"/>
    <x v="4"/>
    <x v="3"/>
    <s v="Ben Bedock"/>
    <n v="327890"/>
    <n v="327890"/>
    <n v="280600"/>
    <n v="280600"/>
    <n v="89125"/>
    <n v="327890"/>
    <n v="0"/>
    <n v="327890"/>
    <n v="0"/>
    <n v="0"/>
    <x v="0"/>
    <x v="0"/>
    <x v="0"/>
    <s v="05/22/2023 Construction started on the new elevator mechanical room.  Once room is completed, elevator modernization to start."/>
  </r>
  <r>
    <x v="1"/>
    <n v="20431"/>
    <n v="8084"/>
    <s v="CP_400108"/>
    <x v="5"/>
    <x v="5"/>
    <x v="5"/>
    <x v="5"/>
    <x v="3"/>
    <s v="Hans Mooy"/>
    <n v="4375000"/>
    <n v="139640"/>
    <n v="126225"/>
    <n v="126225"/>
    <n v="82281.22"/>
    <n v="69862.5"/>
    <n v="0"/>
    <n v="69862.5"/>
    <n v="4000000"/>
    <n v="0"/>
    <x v="0"/>
    <x v="1"/>
    <x v="0"/>
    <s v="05/22/2023 FM Sylvan had been awarded the project. An LOI is currently being signed. Construction start is set for January 2024."/>
  </r>
  <r>
    <x v="1"/>
    <n v="20478"/>
    <n v="8672"/>
    <s v="CP_400182"/>
    <x v="6"/>
    <x v="6"/>
    <x v="6"/>
    <x v="6"/>
    <x v="4"/>
    <s v="Cathy Bartlett"/>
    <n v="2910000"/>
    <n v="120500"/>
    <n v="120500"/>
    <n v="120500"/>
    <n v="64675"/>
    <n v="81100"/>
    <n v="0"/>
    <n v="81100"/>
    <s v="TBD"/>
    <n v="0"/>
    <x v="0"/>
    <x v="1"/>
    <x v="0"/>
    <s v="05/01/2023 Construction documents are complete. CDs have been submitted for permit and contractor proposals are due 5/2. Construction is expected to start in May and complete for tenants to occupy the building in August 2023."/>
  </r>
  <r>
    <x v="1"/>
    <n v="20489"/>
    <n v="8051"/>
    <s v="CP_400183"/>
    <x v="5"/>
    <x v="5"/>
    <x v="5"/>
    <x v="7"/>
    <x v="2"/>
    <s v="Hans Mooy"/>
    <n v="3726000"/>
    <n v="26500"/>
    <n v="15895"/>
    <n v="15895"/>
    <n v="1222.5"/>
    <n v="26500"/>
    <n v="0"/>
    <n v="26500"/>
    <n v="0"/>
    <s v="TBD"/>
    <x v="0"/>
    <x v="0"/>
    <x v="1"/>
    <s v="05/22/2023 Design meetings continue...a document page flip is set for 06/05/23."/>
  </r>
  <r>
    <x v="1"/>
    <n v="20497"/>
    <n v="529"/>
    <s v="CP_400127"/>
    <x v="0"/>
    <x v="0"/>
    <x v="7"/>
    <x v="8"/>
    <x v="3"/>
    <s v="Ben Bedock"/>
    <n v="456850"/>
    <n v="456850"/>
    <n v="412000"/>
    <n v="412000"/>
    <n v="407000"/>
    <n v="79415.5"/>
    <n v="0"/>
    <n v="79415.5"/>
    <n v="0"/>
    <n v="0"/>
    <x v="0"/>
    <x v="0"/>
    <x v="0"/>
    <s v="05/22/2023 Windows to ship on 05/30.  Once received, windows will be installed ASAP."/>
  </r>
  <r>
    <x v="1"/>
    <n v="20506"/>
    <n v="1170"/>
    <s v="CP_400192"/>
    <x v="0"/>
    <x v="0"/>
    <x v="8"/>
    <x v="9"/>
    <x v="3"/>
    <s v="Ben Bedock"/>
    <n v="344155.26"/>
    <n v="344155.26"/>
    <n v="307776.26"/>
    <n v="307776.26"/>
    <n v="0"/>
    <n v="344155.26"/>
    <n v="0"/>
    <n v="344155.26"/>
    <n v="0"/>
    <n v="0"/>
    <x v="0"/>
    <x v="0"/>
    <x v="0"/>
    <s v="05/22/2023 Window repairs from the 3rd floor down has started.  New window installation on the 4th floor to begin on 06/12/2023"/>
  </r>
  <r>
    <x v="1"/>
    <n v="20562"/>
    <n v="4564"/>
    <s v="CP_400175"/>
    <x v="0"/>
    <x v="0"/>
    <x v="8"/>
    <x v="10"/>
    <x v="3"/>
    <s v="Sean Rewers"/>
    <n v="400000"/>
    <n v="405791"/>
    <n v="362559.64"/>
    <n v="362559.64"/>
    <n v="75970"/>
    <n v="405791"/>
    <n v="0"/>
    <n v="405791"/>
    <n v="0"/>
    <n v="0"/>
    <x v="0"/>
    <x v="0"/>
    <x v="0"/>
    <s v="05/23/2023 Construction has started. Contractors are working from the top level down removing old VAVs and replacing one at a time."/>
  </r>
  <r>
    <x v="2"/>
    <n v="20563"/>
    <n v="4624"/>
    <m/>
    <x v="7"/>
    <x v="7"/>
    <x v="9"/>
    <x v="11"/>
    <x v="5"/>
    <s v="Ben Bedock"/>
    <n v="386000"/>
    <n v="0"/>
    <n v="0"/>
    <n v="0"/>
    <n v="0"/>
    <n v="0"/>
    <n v="0"/>
    <n v="0"/>
    <n v="0"/>
    <s v="TBD"/>
    <x v="1"/>
    <x v="0"/>
    <x v="1"/>
    <s v="03/24/2023 Working with appropriate parties to determine scope of work."/>
  </r>
  <r>
    <x v="1"/>
    <n v="20566"/>
    <n v="20054"/>
    <s v="CP_400151"/>
    <x v="6"/>
    <x v="6"/>
    <x v="10"/>
    <x v="12"/>
    <x v="3"/>
    <s v="Ben Bedock"/>
    <n v="781870"/>
    <n v="781870"/>
    <n v="709050"/>
    <n v="709050"/>
    <n v="217250"/>
    <n v="781870"/>
    <n v="0"/>
    <n v="781870"/>
    <n v="0"/>
    <n v="0"/>
    <x v="0"/>
    <x v="0"/>
    <x v="0"/>
    <s v="05/22/2023 Staging and preparing the space for the elevators has started.  Construction to start on 06/12 and go for two weeks on the penthouse elevator."/>
  </r>
  <r>
    <x v="1"/>
    <n v="20573"/>
    <n v="8047"/>
    <s v="CP_400185"/>
    <x v="0"/>
    <x v="0"/>
    <x v="8"/>
    <x v="13"/>
    <x v="3"/>
    <s v="Ben Bedock"/>
    <n v="1232681"/>
    <n v="1232681"/>
    <n v="1113460"/>
    <n v="1113460"/>
    <n v="0"/>
    <n v="1232681"/>
    <n v="0"/>
    <n v="1232681"/>
    <n v="0"/>
    <n v="0"/>
    <x v="0"/>
    <x v="0"/>
    <x v="0"/>
    <s v="05/22/2023 Materials have been delivered on 05/17.  Construction started 05/22."/>
  </r>
  <r>
    <x v="1"/>
    <n v="20574"/>
    <n v="8145"/>
    <s v="CP_400164"/>
    <x v="1"/>
    <x v="1"/>
    <x v="1"/>
    <x v="14"/>
    <x v="3"/>
    <s v="Sean Rewers"/>
    <n v="218202"/>
    <n v="218202"/>
    <n v="195665"/>
    <n v="195665"/>
    <n v="42360"/>
    <n v="218202"/>
    <n v="0"/>
    <n v="218202"/>
    <n v="0"/>
    <n v="0"/>
    <x v="0"/>
    <x v="0"/>
    <x v="0"/>
    <s v="05/23/2023 Construction is ongoing. 1 AHU has had the coils replaced and they are currently working on the 2nd AHU, in the loading dock are now."/>
  </r>
  <r>
    <x v="1"/>
    <n v="20577"/>
    <n v="8146"/>
    <s v="CP_400154"/>
    <x v="4"/>
    <x v="4"/>
    <x v="4"/>
    <x v="15"/>
    <x v="2"/>
    <s v="Hans Mooy"/>
    <n v="4500000"/>
    <n v="223000"/>
    <n v="220566.21"/>
    <n v="220566.21"/>
    <n v="168841.21"/>
    <n v="223000"/>
    <n v="0"/>
    <n v="223000"/>
    <n v="0"/>
    <s v="TBD"/>
    <x v="0"/>
    <x v="0"/>
    <x v="1"/>
    <s v="05/22/2023 Project on hold until FRP funding available FY25 or FY26"/>
  </r>
  <r>
    <x v="1"/>
    <n v="20644"/>
    <n v="8241"/>
    <s v="CP_400171"/>
    <x v="0"/>
    <x v="0"/>
    <x v="11"/>
    <x v="16"/>
    <x v="3"/>
    <s v="Ben Bedock"/>
    <n v="630554"/>
    <n v="630554"/>
    <n v="570996"/>
    <n v="570996"/>
    <n v="175193.4"/>
    <n v="630554"/>
    <n v="0"/>
    <n v="630554"/>
    <n v="0"/>
    <n v="0"/>
    <x v="0"/>
    <x v="0"/>
    <x v="0"/>
    <s v="05/22/2023 Window work has been completed.  Roof replacement to start on 05/22."/>
  </r>
  <r>
    <x v="0"/>
    <n v="20645"/>
    <n v="8239"/>
    <m/>
    <x v="6"/>
    <x v="6"/>
    <x v="12"/>
    <x v="17"/>
    <x v="6"/>
    <s v="Ben Bedock"/>
    <n v="125875"/>
    <n v="125875"/>
    <n v="0"/>
    <n v="112250"/>
    <n v="0"/>
    <n v="125875"/>
    <n v="0"/>
    <n v="125875"/>
    <n v="0"/>
    <n v="0"/>
    <x v="0"/>
    <x v="0"/>
    <x v="0"/>
    <s v="05/22/2023 PO process has started."/>
  </r>
  <r>
    <x v="1"/>
    <n v="20667"/>
    <n v="8168"/>
    <s v="CP_400160"/>
    <x v="7"/>
    <x v="7"/>
    <x v="13"/>
    <x v="18"/>
    <x v="2"/>
    <s v="Sean Rewers"/>
    <n v="146500"/>
    <n v="146500"/>
    <n v="146500"/>
    <n v="146500"/>
    <n v="0"/>
    <n v="146500"/>
    <n v="0"/>
    <n v="146500"/>
    <s v="TBD"/>
    <n v="0"/>
    <x v="0"/>
    <x v="1"/>
    <x v="0"/>
    <s v="05/24/2023 We are awaiting OPR packet from CX. Design team has pulled together a recommendation letter and begun some work on the initial design."/>
  </r>
  <r>
    <x v="1"/>
    <n v="20668"/>
    <n v="8151"/>
    <s v="CP_400163"/>
    <x v="7"/>
    <x v="7"/>
    <x v="9"/>
    <x v="19"/>
    <x v="2"/>
    <s v="Sean Rewers"/>
    <n v="206500"/>
    <n v="206500"/>
    <n v="206500"/>
    <n v="206500"/>
    <n v="0"/>
    <n v="206500"/>
    <n v="0"/>
    <n v="206500"/>
    <s v="TBD"/>
    <n v="0"/>
    <x v="0"/>
    <x v="1"/>
    <x v="0"/>
    <s v="05/24/2023 Awaitin OPR packet from CX. We will have a walkthrough this month with the design team and they will begin initial design."/>
  </r>
  <r>
    <x v="0"/>
    <n v="20698"/>
    <n v="1138"/>
    <s v="CP_400168"/>
    <x v="6"/>
    <x v="6"/>
    <x v="14"/>
    <x v="20"/>
    <x v="2"/>
    <s v="Sean Rewers"/>
    <n v="29250"/>
    <n v="29250"/>
    <n v="24950"/>
    <n v="29250"/>
    <n v="21207.5"/>
    <n v="29250"/>
    <n v="0"/>
    <n v="29250"/>
    <s v="TBD"/>
    <n v="0"/>
    <x v="0"/>
    <x v="1"/>
    <x v="0"/>
    <s v="05/23/2023 First page flip has been completed on the design. We will have a second page flip in June with the lab occupants to iron out the lower level requirements. We will be trying to get fire departments signal testing done this summer, we are awaiting a proposal from a contractor."/>
  </r>
  <r>
    <x v="0"/>
    <n v="20700"/>
    <n v="851"/>
    <m/>
    <x v="6"/>
    <x v="6"/>
    <x v="10"/>
    <x v="21"/>
    <x v="3"/>
    <s v="Sean Rewers"/>
    <n v="80000"/>
    <n v="79623"/>
    <n v="69954"/>
    <n v="69954"/>
    <n v="2500"/>
    <n v="79623"/>
    <n v="0"/>
    <n v="79623"/>
    <n v="0"/>
    <n v="0"/>
    <x v="0"/>
    <x v="0"/>
    <x v="0"/>
    <s v="05/23/2023 Construction has started. Sylvan has welded up the condensate return and replaced the steam supply valve. Domestic water in the are has been capped. SG 1 has been disconnected and demo has started."/>
  </r>
  <r>
    <x v="1"/>
    <n v="20701"/>
    <n v="4399"/>
    <s v="CP_400198"/>
    <x v="6"/>
    <x v="6"/>
    <x v="15"/>
    <x v="22"/>
    <x v="6"/>
    <s v="Sean Rewers"/>
    <n v="500000"/>
    <n v="499093"/>
    <n v="0"/>
    <n v="0"/>
    <n v="0"/>
    <n v="499093"/>
    <n v="0"/>
    <n v="499093"/>
    <n v="0"/>
    <n v="0"/>
    <x v="0"/>
    <x v="0"/>
    <x v="0"/>
    <s v="05/30/2023 We have reached out to EHS to see if they can test the water entering the tank, and may be changing the scope depending on those results."/>
  </r>
  <r>
    <x v="1"/>
    <n v="20702"/>
    <n v="8432"/>
    <s v="CP_400165"/>
    <x v="0"/>
    <x v="0"/>
    <x v="8"/>
    <x v="23"/>
    <x v="3"/>
    <s v="Ben Bedock"/>
    <n v="225791"/>
    <n v="239341"/>
    <n v="209419"/>
    <n v="209419"/>
    <n v="53751.49"/>
    <n v="239341"/>
    <n v="0"/>
    <n v="239341"/>
    <n v="0"/>
    <n v="0"/>
    <x v="0"/>
    <x v="0"/>
    <x v="0"/>
    <s v="05/22/2023 Construction started on 05/15."/>
  </r>
  <r>
    <x v="1"/>
    <n v="20718"/>
    <n v="8608"/>
    <s v="CP_400174"/>
    <x v="6"/>
    <x v="6"/>
    <x v="16"/>
    <x v="24"/>
    <x v="3"/>
    <s v="Erin Fry"/>
    <n v="715000"/>
    <n v="715000"/>
    <n v="21250"/>
    <n v="616510"/>
    <n v="17400"/>
    <n v="96166"/>
    <n v="0"/>
    <n v="96166"/>
    <n v="0"/>
    <n v="0"/>
    <x v="0"/>
    <x v="0"/>
    <x v="0"/>
    <s v="05/23/2023 Demo to begin on 5/30/23. Construction to be complete late July."/>
  </r>
  <r>
    <x v="1"/>
    <n v="20723"/>
    <n v="1628"/>
    <s v="CP_400187"/>
    <x v="1"/>
    <x v="1"/>
    <x v="1"/>
    <x v="25"/>
    <x v="7"/>
    <s v="Hans Mooy"/>
    <n v="1500000"/>
    <n v="160500"/>
    <n v="155232.51999999999"/>
    <n v="155232.51999999999"/>
    <n v="133807.51999999999"/>
    <n v="160500"/>
    <n v="0"/>
    <n v="160500"/>
    <n v="1339500"/>
    <n v="0"/>
    <x v="0"/>
    <x v="1"/>
    <x v="0"/>
    <s v="05/23/2023 Project to be bid July 2023."/>
  </r>
  <r>
    <x v="1"/>
    <n v="20724"/>
    <n v="8557"/>
    <s v="CP_400178"/>
    <x v="4"/>
    <x v="4"/>
    <x v="4"/>
    <x v="26"/>
    <x v="2"/>
    <s v="Hans Mooy"/>
    <n v="950000"/>
    <n v="23400"/>
    <n v="21480"/>
    <n v="21480"/>
    <n v="0"/>
    <n v="23400"/>
    <n v="0"/>
    <n v="23400"/>
    <n v="926600"/>
    <n v="0"/>
    <x v="0"/>
    <x v="1"/>
    <x v="0"/>
    <s v="05/22/2023 Design meetings continue."/>
  </r>
  <r>
    <x v="0"/>
    <n v="20735"/>
    <n v="8226"/>
    <m/>
    <x v="8"/>
    <x v="8"/>
    <x v="17"/>
    <x v="27"/>
    <x v="3"/>
    <s v="Ben Bedock"/>
    <n v="300000"/>
    <n v="300000"/>
    <n v="276500"/>
    <n v="276500"/>
    <n v="0"/>
    <n v="300000"/>
    <n v="0"/>
    <n v="300000"/>
    <n v="0"/>
    <n v="0"/>
    <x v="0"/>
    <x v="0"/>
    <x v="0"/>
    <s v="05/22/2023 Construction to start once SLC roof is complete.  Awaiting proposed start date."/>
  </r>
  <r>
    <x v="2"/>
    <n v="20767"/>
    <n v="8673"/>
    <m/>
    <x v="0"/>
    <x v="0"/>
    <x v="18"/>
    <x v="28"/>
    <x v="2"/>
    <s v="Sean Rewers"/>
    <m/>
    <n v="0"/>
    <n v="0"/>
    <n v="0"/>
    <n v="0"/>
    <n v="0"/>
    <n v="0"/>
    <n v="0"/>
    <s v="TBD"/>
    <n v="0"/>
    <x v="1"/>
    <x v="1"/>
    <x v="0"/>
    <s v="05/23/2023 We have received a quote for the grout injection. I have walked the exterior with a landscape contractor who is getting us a quote in May for hydro excavation and plant replacement. Project is slated for FY 24."/>
  </r>
  <r>
    <x v="0"/>
    <n v="20771"/>
    <n v="8674"/>
    <m/>
    <x v="6"/>
    <x v="6"/>
    <x v="10"/>
    <x v="29"/>
    <x v="3"/>
    <s v="Sean Rewers"/>
    <n v="25000"/>
    <n v="24997"/>
    <n v="17972"/>
    <n v="17972"/>
    <n v="0"/>
    <n v="24997"/>
    <n v="0"/>
    <n v="24997"/>
    <n v="0"/>
    <n v="0"/>
    <x v="0"/>
    <x v="0"/>
    <x v="0"/>
    <s v="05/30/2023 Sylvan has installed ductwork and has been working on getting the VAV and electrical installed. Project i son track."/>
  </r>
  <r>
    <x v="0"/>
    <n v="20772"/>
    <n v="8675"/>
    <m/>
    <x v="8"/>
    <x v="8"/>
    <x v="17"/>
    <x v="30"/>
    <x v="5"/>
    <s v="Ben Bedock"/>
    <m/>
    <n v="0"/>
    <n v="0"/>
    <n v="0"/>
    <n v="0"/>
    <n v="0"/>
    <n v="0"/>
    <n v="0"/>
    <s v="TBD"/>
    <n v="0"/>
    <x v="1"/>
    <x v="1"/>
    <x v="0"/>
    <s v="03/24/2023 Summer 2024 project.  Bidding process will start closer to summer 2023 to allow 6 months for slate production.  Project will more than likely take longer than summer break and will need to start during school."/>
  </r>
  <r>
    <x v="0"/>
    <n v="20792"/>
    <m/>
    <m/>
    <x v="3"/>
    <x v="3"/>
    <x v="3"/>
    <x v="31"/>
    <x v="6"/>
    <s v="Ben Bedock"/>
    <n v="400000"/>
    <n v="483440"/>
    <n v="0"/>
    <n v="0"/>
    <n v="0"/>
    <n v="483440"/>
    <n v="0"/>
    <n v="483440"/>
    <n v="0"/>
    <n v="0"/>
    <x v="0"/>
    <x v="0"/>
    <x v="0"/>
    <s v="05/22/2023 Project has been approved.  PO process has officially start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2943DF5-4EF5-4C10-A403-A1237B581EFB}"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4:D33" firstHeaderRow="0" firstDataRow="1" firstDataCol="1"/>
  <pivotFields count="24">
    <pivotField showAll="0">
      <items count="4">
        <item x="1"/>
        <item x="0"/>
        <item x="2"/>
        <item t="default"/>
      </items>
    </pivotField>
    <pivotField showAll="0"/>
    <pivotField showAll="0"/>
    <pivotField showAll="0"/>
    <pivotField axis="axisRow" showAll="0">
      <items count="10">
        <item x="6"/>
        <item x="4"/>
        <item x="5"/>
        <item x="7"/>
        <item x="3"/>
        <item x="1"/>
        <item x="0"/>
        <item x="2"/>
        <item x="8"/>
        <item t="default"/>
      </items>
    </pivotField>
    <pivotField showAll="0">
      <items count="11">
        <item x="6"/>
        <item x="4"/>
        <item x="5"/>
        <item x="7"/>
        <item x="3"/>
        <item x="2"/>
        <item x="8"/>
        <item x="0"/>
        <item x="1"/>
        <item m="1" x="9"/>
        <item t="default"/>
      </items>
    </pivotField>
    <pivotField axis="axisRow" showAll="0">
      <items count="20">
        <item x="13"/>
        <item x="12"/>
        <item x="4"/>
        <item x="5"/>
        <item x="2"/>
        <item x="7"/>
        <item x="9"/>
        <item x="3"/>
        <item x="1"/>
        <item x="0"/>
        <item x="11"/>
        <item x="10"/>
        <item x="8"/>
        <item x="14"/>
        <item x="15"/>
        <item x="6"/>
        <item x="17"/>
        <item x="16"/>
        <item x="18"/>
        <item t="default"/>
      </items>
    </pivotField>
    <pivotField showAll="0"/>
    <pivotField showAll="0"/>
    <pivotField showAll="0"/>
    <pivotField dataField="1" numFmtId="165" showAll="0"/>
    <pivotField dataField="1" numFmtId="165" showAll="0"/>
    <pivotField numFmtId="165" showAll="0"/>
    <pivotField numFmtId="165" showAll="0"/>
    <pivotField numFmtId="165" showAll="0"/>
    <pivotField numFmtId="164" showAll="0"/>
    <pivotField showAll="0"/>
    <pivotField dataField="1" numFmtId="164" showAll="0"/>
    <pivotField showAll="0"/>
    <pivotField showAll="0"/>
    <pivotField showAll="0"/>
    <pivotField showAll="0"/>
    <pivotField showAll="0"/>
    <pivotField showAll="0"/>
  </pivotFields>
  <rowFields count="2">
    <field x="4"/>
    <field x="6"/>
  </rowFields>
  <rowItems count="29">
    <i>
      <x/>
    </i>
    <i r="1">
      <x v="1"/>
    </i>
    <i r="1">
      <x v="11"/>
    </i>
    <i r="1">
      <x v="13"/>
    </i>
    <i r="1">
      <x v="14"/>
    </i>
    <i r="1">
      <x v="15"/>
    </i>
    <i r="1">
      <x v="17"/>
    </i>
    <i>
      <x v="1"/>
    </i>
    <i r="1">
      <x v="2"/>
    </i>
    <i>
      <x v="2"/>
    </i>
    <i r="1">
      <x v="3"/>
    </i>
    <i>
      <x v="3"/>
    </i>
    <i r="1">
      <x/>
    </i>
    <i r="1">
      <x v="6"/>
    </i>
    <i>
      <x v="4"/>
    </i>
    <i r="1">
      <x v="7"/>
    </i>
    <i>
      <x v="5"/>
    </i>
    <i r="1">
      <x v="8"/>
    </i>
    <i>
      <x v="6"/>
    </i>
    <i r="1">
      <x v="5"/>
    </i>
    <i r="1">
      <x v="9"/>
    </i>
    <i r="1">
      <x v="10"/>
    </i>
    <i r="1">
      <x v="12"/>
    </i>
    <i r="1">
      <x v="18"/>
    </i>
    <i>
      <x v="7"/>
    </i>
    <i r="1">
      <x v="4"/>
    </i>
    <i>
      <x v="8"/>
    </i>
    <i r="1">
      <x v="16"/>
    </i>
    <i t="grand">
      <x/>
    </i>
  </rowItems>
  <colFields count="1">
    <field x="-2"/>
  </colFields>
  <colItems count="3">
    <i>
      <x/>
    </i>
    <i i="1">
      <x v="1"/>
    </i>
    <i i="2">
      <x v="2"/>
    </i>
  </colItems>
  <dataFields count="3">
    <dataField name="Estimated Budget" fld="10" baseField="5" baseItem="1" numFmtId="3"/>
    <dataField name="Approved_Budget" fld="11" baseField="5" baseItem="1" numFmtId="3"/>
    <dataField name="FY23 FRP Forecast" fld="17" baseField="4" baseItem="3"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652235207">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652235207">
      <items count="19">
        <i x="13" s="1"/>
        <i x="12" s="1"/>
        <i x="4" s="1"/>
        <i x="6" s="1"/>
        <i x="16" s="1"/>
        <i x="5" s="1"/>
        <i x="2" s="1"/>
        <i x="7" s="1"/>
        <i x="9" s="1"/>
        <i x="3" s="1"/>
        <i x="1" s="1"/>
        <i x="0" s="1"/>
        <i x="17" s="1"/>
        <i x="11" s="1"/>
        <i x="10" s="1"/>
        <i x="15" s="1"/>
        <i x="18" s="1"/>
        <i x="14" s="1"/>
        <i x="8"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652235207">
      <items count="10">
        <i x="6" s="1"/>
        <i x="4" s="1"/>
        <i x="5" s="1"/>
        <i x="7" s="1"/>
        <i x="3" s="1"/>
        <i x="2" s="1"/>
        <i x="8" s="1"/>
        <i x="0" s="1"/>
        <i x="1" s="1"/>
        <i x="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Will potentially include roof repairs in scope.</text>
  </threadedComment>
  <threadedComment ref="L10" dT="2023-02-09T15:08:20.39" personId="{25485ED3-42D9-422C-9A77-5F76F434CCD0}" id="{DBD976BE-1EA5-4F82-B578-BB477409D36E}">
    <text>Includes both A&amp;S swing space and FRP scope.</text>
  </threadedComment>
  <threadedComment ref="I26" dT="2023-05-17T18:10:17.03" personId="{25485ED3-42D9-422C-9A77-5F76F434CCD0}" id="{08FDBB7B-1C2A-4B25-87EE-E5D1E2497356}">
    <text>Coordinating with EHS, may change direction.</text>
  </threadedComment>
  <threadedComment ref="L28" dT="2023-02-09T15:08:20.39" personId="{25485ED3-42D9-422C-9A77-5F76F434CCD0}" id="{CD0EAA3A-8612-41AC-AEA9-2402CC95F0F9}">
    <text xml:space="preserve">Includes both A&amp;S third floor renovation FRP (VAV boxes) scope.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 Id="rId4" Type="http://schemas.microsoft.com/office/2007/relationships/slicer" Target="../slicers/slicer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H30"/>
  <sheetViews>
    <sheetView zoomScaleNormal="100" workbookViewId="0">
      <selection activeCell="A58" sqref="A58:A79"/>
    </sheetView>
  </sheetViews>
  <sheetFormatPr defaultRowHeight="14.6" x14ac:dyDescent="0.4"/>
  <cols>
    <col min="1" max="1" width="19.84375" customWidth="1"/>
    <col min="2" max="2" width="12.53515625" customWidth="1"/>
    <col min="3" max="5" width="14.3046875" customWidth="1"/>
  </cols>
  <sheetData>
    <row r="1" spans="1:8" s="8" customFormat="1" x14ac:dyDescent="0.4">
      <c r="A1" s="10" t="s">
        <v>194</v>
      </c>
      <c r="B1"/>
      <c r="C1"/>
      <c r="D1"/>
      <c r="E1"/>
    </row>
    <row r="2" spans="1:8" s="8" customFormat="1" x14ac:dyDescent="0.4">
      <c r="A2" s="97" t="s">
        <v>112</v>
      </c>
      <c r="B2" s="96">
        <v>45086</v>
      </c>
      <c r="C2"/>
      <c r="D2"/>
      <c r="E2"/>
    </row>
    <row r="4" spans="1:8" x14ac:dyDescent="0.4">
      <c r="A4" s="10" t="s">
        <v>237</v>
      </c>
      <c r="D4" s="71" t="s">
        <v>173</v>
      </c>
    </row>
    <row r="5" spans="1:8" ht="29.15" x14ac:dyDescent="0.4">
      <c r="A5" s="23" t="s">
        <v>86</v>
      </c>
      <c r="B5" s="67" t="s">
        <v>99</v>
      </c>
      <c r="C5" s="24" t="s">
        <v>88</v>
      </c>
      <c r="D5" s="29" t="s">
        <v>263</v>
      </c>
      <c r="E5" s="30" t="s">
        <v>264</v>
      </c>
    </row>
    <row r="6" spans="1:8" x14ac:dyDescent="0.4">
      <c r="A6" t="s">
        <v>200</v>
      </c>
      <c r="B6" s="21">
        <f>Contributions!B5</f>
        <v>1075461.7320675128</v>
      </c>
      <c r="C6" s="59">
        <f>'Shared Building Allocation'!C5*1000000</f>
        <v>3663826</v>
      </c>
      <c r="D6" s="60">
        <f>'Shared Building Allocation'!F5*1000000</f>
        <v>2895123.625</v>
      </c>
      <c r="E6" s="61">
        <f>C6-D6</f>
        <v>768702.375</v>
      </c>
      <c r="H6" s="27"/>
    </row>
    <row r="7" spans="1:8" x14ac:dyDescent="0.4">
      <c r="A7" t="s">
        <v>202</v>
      </c>
      <c r="B7" s="21">
        <f>Contributions!B6</f>
        <v>121421.42689276834</v>
      </c>
      <c r="C7" s="68">
        <f>'Shared Building Allocation'!C6*1000000</f>
        <v>413652</v>
      </c>
      <c r="D7" s="69">
        <f>'Shared Building Allocation'!F6*1000000</f>
        <v>574290</v>
      </c>
      <c r="E7" s="70">
        <f t="shared" ref="E7:E14" si="0">C7-D7</f>
        <v>-160638</v>
      </c>
      <c r="H7" s="27"/>
    </row>
    <row r="8" spans="1:8" x14ac:dyDescent="0.4">
      <c r="A8" t="s">
        <v>203</v>
      </c>
      <c r="B8" s="21">
        <f>Contributions!B7</f>
        <v>57814.730923479161</v>
      </c>
      <c r="C8" s="68">
        <f>'Shared Building Allocation'!C7*1000000</f>
        <v>196960</v>
      </c>
      <c r="D8" s="69">
        <f>'Shared Building Allocation'!F7*1000000</f>
        <v>96362.5</v>
      </c>
      <c r="E8" s="70">
        <f t="shared" si="0"/>
        <v>100597.5</v>
      </c>
      <c r="H8" s="27"/>
    </row>
    <row r="9" spans="1:8" x14ac:dyDescent="0.4">
      <c r="A9" t="s">
        <v>204</v>
      </c>
      <c r="B9" s="21">
        <f>Contributions!B8</f>
        <v>537962.332719445</v>
      </c>
      <c r="C9" s="68">
        <f>'Shared Building Allocation'!C8*1000000</f>
        <v>1832701</v>
      </c>
      <c r="D9" s="69">
        <f>'Shared Building Allocation'!F8*1000000</f>
        <v>353000</v>
      </c>
      <c r="E9" s="70">
        <f t="shared" si="0"/>
        <v>1479701</v>
      </c>
      <c r="H9" s="27"/>
    </row>
    <row r="10" spans="1:8" x14ac:dyDescent="0.4">
      <c r="A10" t="s">
        <v>205</v>
      </c>
      <c r="B10" s="21">
        <f>Contributions!B9</f>
        <v>120155.48460329951</v>
      </c>
      <c r="C10" s="68">
        <f>'Shared Building Allocation'!C9*1000000</f>
        <v>409339</v>
      </c>
      <c r="D10" s="69">
        <f>'Shared Building Allocation'!F9*1000000</f>
        <v>1206134.5</v>
      </c>
      <c r="E10" s="70">
        <f t="shared" si="0"/>
        <v>-796795.5</v>
      </c>
      <c r="H10" s="27"/>
    </row>
    <row r="11" spans="1:8" x14ac:dyDescent="0.4">
      <c r="A11" t="s">
        <v>207</v>
      </c>
      <c r="B11" s="21">
        <f>Contributions!B10</f>
        <v>280022.39987629937</v>
      </c>
      <c r="C11" s="68">
        <f>'Shared Building Allocation'!C10*1000000</f>
        <v>953965</v>
      </c>
      <c r="D11" s="69">
        <f>'Shared Building Allocation'!F10*1000000</f>
        <v>1036871.8750000001</v>
      </c>
      <c r="E11" s="70">
        <f t="shared" si="0"/>
        <v>-82906.875000000116</v>
      </c>
      <c r="H11" s="27"/>
    </row>
    <row r="12" spans="1:8" x14ac:dyDescent="0.4">
      <c r="A12" t="s">
        <v>206</v>
      </c>
      <c r="B12" s="21">
        <f>Contributions!B11</f>
        <v>106166.70000000001</v>
      </c>
      <c r="C12" s="68">
        <f>'Shared Building Allocation'!C11*1000000</f>
        <v>361683</v>
      </c>
      <c r="D12" s="69">
        <f>'Shared Building Allocation'!F11*1000000</f>
        <v>4900</v>
      </c>
      <c r="E12" s="70">
        <f t="shared" si="0"/>
        <v>356783</v>
      </c>
      <c r="H12" s="27"/>
    </row>
    <row r="13" spans="1:8" x14ac:dyDescent="0.4">
      <c r="A13" t="s">
        <v>201</v>
      </c>
      <c r="B13" s="21">
        <f>Contributions!B12</f>
        <v>59008.361666666671</v>
      </c>
      <c r="C13" s="68">
        <f>'Shared Building Allocation'!C12*1000000</f>
        <v>201027</v>
      </c>
      <c r="D13" s="69">
        <f>'Shared Building Allocation'!F12*1000000</f>
        <v>300000</v>
      </c>
      <c r="E13" s="70">
        <f t="shared" si="0"/>
        <v>-98973</v>
      </c>
      <c r="H13" s="27"/>
    </row>
    <row r="14" spans="1:8" x14ac:dyDescent="0.4">
      <c r="A14" t="s">
        <v>208</v>
      </c>
      <c r="B14" s="21">
        <f>Contributions!B13</f>
        <v>390796.88477064227</v>
      </c>
      <c r="C14" s="68">
        <f>'Shared Building Allocation'!C13*1000000</f>
        <v>1331346</v>
      </c>
      <c r="D14" s="69">
        <f>'Shared Building Allocation'!F13*1000000</f>
        <v>2953937.76</v>
      </c>
      <c r="E14" s="70">
        <f t="shared" si="0"/>
        <v>-1622591.7599999998</v>
      </c>
      <c r="H14" s="27"/>
    </row>
    <row r="15" spans="1:8" x14ac:dyDescent="0.4">
      <c r="A15" s="25"/>
      <c r="B15" s="25">
        <v>2748810.0535201132</v>
      </c>
      <c r="C15" s="65">
        <f>SUM(C6:C14)</f>
        <v>9364499</v>
      </c>
      <c r="D15" s="64">
        <f>SUM(D6:D14)</f>
        <v>9420620.2599999998</v>
      </c>
      <c r="E15" s="63">
        <f>SUM(E6:E14)</f>
        <v>-56121.259999999776</v>
      </c>
      <c r="H15" s="27"/>
    </row>
    <row r="16" spans="1:8" x14ac:dyDescent="0.4">
      <c r="A16" s="27"/>
      <c r="H16" s="27"/>
    </row>
    <row r="17" spans="1:8" x14ac:dyDescent="0.4">
      <c r="A17" s="27"/>
      <c r="H17" s="27"/>
    </row>
    <row r="18" spans="1:8" x14ac:dyDescent="0.4">
      <c r="A18" s="27"/>
      <c r="H18" s="27"/>
    </row>
    <row r="19" spans="1:8" s="20" customFormat="1" ht="14.7" customHeight="1" x14ac:dyDescent="0.4">
      <c r="A19" s="10" t="s">
        <v>265</v>
      </c>
      <c r="B19"/>
      <c r="C19"/>
      <c r="D19" s="71" t="s">
        <v>173</v>
      </c>
      <c r="E19"/>
    </row>
    <row r="20" spans="1:8" s="20" customFormat="1" ht="29.15" x14ac:dyDescent="0.4">
      <c r="A20" s="134" t="s">
        <v>86</v>
      </c>
      <c r="B20" s="135" t="s">
        <v>99</v>
      </c>
      <c r="C20" s="136" t="s">
        <v>88</v>
      </c>
      <c r="D20" s="140" t="s">
        <v>263</v>
      </c>
      <c r="E20" s="141" t="s">
        <v>264</v>
      </c>
    </row>
    <row r="21" spans="1:8" s="20" customFormat="1" x14ac:dyDescent="0.4">
      <c r="A21" t="s">
        <v>200</v>
      </c>
      <c r="B21" s="21">
        <f>Contributions!F5</f>
        <v>1059147</v>
      </c>
      <c r="C21" s="139">
        <f>Contributions!G5</f>
        <v>4204813.59</v>
      </c>
      <c r="D21" s="59">
        <f>'Shared Building Allocation'!K5*1000000</f>
        <v>1497725</v>
      </c>
      <c r="E21" s="143">
        <f>C21-D21</f>
        <v>2707088.59</v>
      </c>
    </row>
    <row r="22" spans="1:8" s="20" customFormat="1" x14ac:dyDescent="0.4">
      <c r="A22" t="s">
        <v>202</v>
      </c>
      <c r="B22" s="21">
        <f>Contributions!F6</f>
        <v>121421</v>
      </c>
      <c r="C22" s="139">
        <f>Contributions!G6</f>
        <v>482041.37</v>
      </c>
      <c r="D22" s="68">
        <f>'Shared Building Allocation'!K6*1000000</f>
        <v>926600</v>
      </c>
      <c r="E22" s="144">
        <f t="shared" ref="E22:E29" si="1">C22-D22</f>
        <v>-444558.63</v>
      </c>
    </row>
    <row r="23" spans="1:8" s="20" customFormat="1" x14ac:dyDescent="0.4">
      <c r="A23" t="s">
        <v>203</v>
      </c>
      <c r="B23" s="21">
        <f>Contributions!F7</f>
        <v>58263</v>
      </c>
      <c r="C23" s="139">
        <f>Contributions!G7</f>
        <v>231304.11000000002</v>
      </c>
      <c r="D23" s="68">
        <f>'Shared Building Allocation'!K7*1000000</f>
        <v>4000000</v>
      </c>
      <c r="E23" s="144">
        <f t="shared" si="1"/>
        <v>-3768695.89</v>
      </c>
    </row>
    <row r="24" spans="1:8" s="20" customFormat="1" x14ac:dyDescent="0.4">
      <c r="A24" t="s">
        <v>204</v>
      </c>
      <c r="B24" s="21">
        <f>Contributions!F8</f>
        <v>552478</v>
      </c>
      <c r="C24" s="139">
        <f>Contributions!G8</f>
        <v>2193337.66</v>
      </c>
      <c r="D24" s="68">
        <f>'Shared Building Allocation'!K8*1000000</f>
        <v>0</v>
      </c>
      <c r="E24" s="144">
        <f t="shared" si="1"/>
        <v>2193337.66</v>
      </c>
    </row>
    <row r="25" spans="1:8" x14ac:dyDescent="0.4">
      <c r="A25" t="s">
        <v>205</v>
      </c>
      <c r="B25" s="21">
        <f>Contributions!F9</f>
        <v>120155</v>
      </c>
      <c r="C25" s="139">
        <f>Contributions!G9</f>
        <v>477015.35000000003</v>
      </c>
      <c r="D25" s="68">
        <f>'Shared Building Allocation'!K9*1000000</f>
        <v>0</v>
      </c>
      <c r="E25" s="144">
        <f t="shared" si="1"/>
        <v>477015.35000000003</v>
      </c>
    </row>
    <row r="26" spans="1:8" x14ac:dyDescent="0.4">
      <c r="A26" t="s">
        <v>207</v>
      </c>
      <c r="B26" s="21">
        <f>Contributions!F10</f>
        <v>265674</v>
      </c>
      <c r="C26" s="139">
        <f>Contributions!G10</f>
        <v>1054725.78</v>
      </c>
      <c r="D26" s="68">
        <f>'Shared Building Allocation'!K10*1000000</f>
        <v>870675</v>
      </c>
      <c r="E26" s="144">
        <f t="shared" si="1"/>
        <v>184050.78000000003</v>
      </c>
    </row>
    <row r="27" spans="1:8" x14ac:dyDescent="0.4">
      <c r="A27" t="s">
        <v>206</v>
      </c>
      <c r="B27" s="21">
        <f>Contributions!F11</f>
        <v>105746</v>
      </c>
      <c r="C27" s="139">
        <f>Contributions!G11</f>
        <v>419811.62</v>
      </c>
      <c r="D27" s="68">
        <f>'Shared Building Allocation'!K11*1000000</f>
        <v>0</v>
      </c>
      <c r="E27" s="144">
        <f t="shared" si="1"/>
        <v>419811.62</v>
      </c>
    </row>
    <row r="28" spans="1:8" x14ac:dyDescent="0.4">
      <c r="A28" t="s">
        <v>201</v>
      </c>
      <c r="B28" s="21">
        <f>Contributions!F12</f>
        <v>99140</v>
      </c>
      <c r="C28" s="139">
        <f>Contributions!G12</f>
        <v>393585.80000000005</v>
      </c>
      <c r="D28" s="68">
        <f>'Shared Building Allocation'!K12*1000000</f>
        <v>0</v>
      </c>
      <c r="E28" s="144">
        <f t="shared" si="1"/>
        <v>393585.80000000005</v>
      </c>
    </row>
    <row r="29" spans="1:8" x14ac:dyDescent="0.4">
      <c r="A29" t="s">
        <v>208</v>
      </c>
      <c r="B29" s="21">
        <f>Contributions!F13</f>
        <v>396133</v>
      </c>
      <c r="C29" s="139">
        <f>Contributions!G13</f>
        <v>1572648.01</v>
      </c>
      <c r="D29" s="68">
        <f>'Shared Building Allocation'!K13*1000000</f>
        <v>0</v>
      </c>
      <c r="E29" s="144">
        <f t="shared" si="1"/>
        <v>1572648.01</v>
      </c>
    </row>
    <row r="30" spans="1:8" x14ac:dyDescent="0.4">
      <c r="A30" s="137"/>
      <c r="B30" s="137">
        <v>2748810.0535201132</v>
      </c>
      <c r="C30" s="138">
        <f>SUM(C21:C29)</f>
        <v>11029283.289999999</v>
      </c>
      <c r="D30" s="65">
        <f>SUM(D21:D29)</f>
        <v>7295000</v>
      </c>
      <c r="E30" s="142">
        <f>SUM(E21:E29)</f>
        <v>3734283.29</v>
      </c>
    </row>
  </sheetData>
  <sortState xmlns:xlrd2="http://schemas.microsoft.com/office/spreadsheetml/2017/richdata2" ref="H6:H18">
    <sortCondition ref="H6:H18"/>
  </sortState>
  <pageMargins left="0.7" right="0.7" top="0.75" bottom="0.75" header="0.3" footer="0.3"/>
  <pageSetup orientation="portrait" horizontalDpi="4294967295" verticalDpi="4294967295" r:id="rId1"/>
  <headerFooter>
    <oddFooter>&amp;L(1) - estimated FRP indicates expected funding to be transferred back to the school from FRP program funds. Please note, facility renewal projects typically span multiple fiscal years, as such projects may receive funding from multiple fiscal years.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0.69140625" bestFit="1" customWidth="1"/>
    <col min="5" max="5" width="30.3046875" bestFit="1" customWidth="1"/>
    <col min="6" max="6" width="7"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10146</v>
      </c>
      <c r="B4" s="11">
        <f>VLOOKUP(A4,'Project Status'!C:D,2,FALSE)</f>
        <v>4418</v>
      </c>
      <c r="C4" s="11" t="str">
        <f>VLOOKUP(A4,'Project Status'!C:E,3,FALSE)</f>
        <v>CP_400025</v>
      </c>
      <c r="D4" s="11" t="str">
        <f>VLOOKUP(A4,'Project Status'!C:F,4,FALSE)</f>
        <v>19100 - Nursing: Business Affairs</v>
      </c>
      <c r="E4" s="11" t="str">
        <f>VLOOKUP(A4,'Project Status'!C:I,7,FALSE)</f>
        <v>Godchaux Hall - HVAC Upgrade</v>
      </c>
      <c r="F4" s="11" t="str">
        <f>VLOOKUP(A4,'Project Status'!C:J,8,FALSE)</f>
        <v>Design</v>
      </c>
      <c r="G4" s="11" t="str">
        <f>VLOOKUP(A4,'Project Status'!C:K,9,FALSE)</f>
        <v>Sean Rewers</v>
      </c>
      <c r="H4" s="101">
        <f>VLOOKUP(A4,'Project Status'!C:M,11,FALSE)</f>
        <v>62100</v>
      </c>
    </row>
    <row r="8" spans="1:8" x14ac:dyDescent="0.4">
      <c r="E8" s="43" t="s">
        <v>126</v>
      </c>
    </row>
    <row r="9" spans="1:8" x14ac:dyDescent="0.4">
      <c r="E9" s="22" t="s">
        <v>221</v>
      </c>
      <c r="F9" s="35" t="s">
        <v>149</v>
      </c>
      <c r="H9" s="44">
        <v>4900</v>
      </c>
    </row>
    <row r="10" spans="1:8" x14ac:dyDescent="0.4">
      <c r="E10" s="34" t="s">
        <v>225</v>
      </c>
      <c r="F10" s="20"/>
      <c r="G10" s="20"/>
      <c r="H10" s="82">
        <v>57200</v>
      </c>
    </row>
    <row r="11" spans="1:8" x14ac:dyDescent="0.4">
      <c r="H11" s="46">
        <f>SUM(H9:H10)</f>
        <v>62100</v>
      </c>
    </row>
    <row r="12" spans="1:8" x14ac:dyDescent="0.4">
      <c r="H12" s="47"/>
    </row>
    <row r="13" spans="1:8" x14ac:dyDescent="0.4">
      <c r="F13" s="10"/>
      <c r="G13" s="10"/>
      <c r="H13" s="47"/>
    </row>
    <row r="18" spans="5:8" x14ac:dyDescent="0.4">
      <c r="E18" s="167" t="s">
        <v>293</v>
      </c>
      <c r="F18" s="168"/>
      <c r="G18" s="167"/>
      <c r="H18" s="169">
        <f>H9</f>
        <v>4900</v>
      </c>
    </row>
    <row r="20" spans="5:8" x14ac:dyDescent="0.4">
      <c r="E20" s="170" t="s">
        <v>138</v>
      </c>
      <c r="F20" s="170"/>
      <c r="G20" s="170"/>
      <c r="H20" s="171">
        <f>H4-H11</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8"/>
    <pageSetUpPr fitToPage="1"/>
  </sheetPr>
  <dimension ref="A3:H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7.15234375" bestFit="1" customWidth="1"/>
    <col min="5" max="5" width="41.3828125" bestFit="1" customWidth="1"/>
    <col min="6" max="6" width="31.3046875" bestFit="1" customWidth="1"/>
    <col min="7" max="7" width="13.843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Status'!C:J,8,FALSE)</f>
        <v>Closeout</v>
      </c>
      <c r="G4" s="11" t="str">
        <f>VLOOKUP(A4,'Project Status'!C:K,9,FALSE)</f>
        <v>Bob Grummon</v>
      </c>
      <c r="H4" s="42">
        <f>VLOOKUP(A4,'Project Status'!C:M,11,FALSE)</f>
        <v>1445389</v>
      </c>
    </row>
    <row r="8" spans="1:8" x14ac:dyDescent="0.4">
      <c r="E8" s="43" t="s">
        <v>126</v>
      </c>
    </row>
    <row r="9" spans="1:8" x14ac:dyDescent="0.4">
      <c r="E9" s="22" t="s">
        <v>136</v>
      </c>
      <c r="F9" s="35">
        <v>44769</v>
      </c>
      <c r="H9" s="44">
        <v>722694.5</v>
      </c>
    </row>
    <row r="10" spans="1:8" x14ac:dyDescent="0.4">
      <c r="E10" s="34" t="s">
        <v>137</v>
      </c>
      <c r="F10" s="20"/>
      <c r="G10" s="20"/>
      <c r="H10" s="82">
        <f>H4*0.5</f>
        <v>722694.5</v>
      </c>
    </row>
    <row r="11" spans="1:8" x14ac:dyDescent="0.4">
      <c r="H11" s="46">
        <f>SUM(H9:H10)</f>
        <v>1445389</v>
      </c>
    </row>
    <row r="13" spans="1:8" x14ac:dyDescent="0.4">
      <c r="G13" s="10"/>
      <c r="H13" s="47"/>
    </row>
    <row r="18" spans="5:8" x14ac:dyDescent="0.4">
      <c r="E18" s="167" t="s">
        <v>293</v>
      </c>
      <c r="F18" s="168"/>
      <c r="G18" s="167"/>
      <c r="H18" s="169">
        <f>H9</f>
        <v>722694.5</v>
      </c>
    </row>
    <row r="20" spans="5:8" x14ac:dyDescent="0.4">
      <c r="E20" s="170" t="s">
        <v>138</v>
      </c>
      <c r="F20" s="170"/>
      <c r="G20" s="170"/>
      <c r="H20" s="171">
        <f>H4-H11</f>
        <v>0</v>
      </c>
    </row>
  </sheetData>
  <pageMargins left="0.7" right="0.7" top="0.75" bottom="0.75" header="0.3" footer="0.3"/>
  <pageSetup scale="9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12.38281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Status'!C:J,8,FALSE)</f>
        <v>Construction</v>
      </c>
      <c r="G4" s="11" t="str">
        <f>VLOOKUP(A4,'Project Status'!C:K,9,FALSE)</f>
        <v>Ben Bedock</v>
      </c>
      <c r="H4" s="42">
        <f>VLOOKUP(A4,'Project Status'!C:M,11,FALSE)</f>
        <v>327890</v>
      </c>
    </row>
    <row r="8" spans="1:8" x14ac:dyDescent="0.4">
      <c r="E8" s="43" t="s">
        <v>126</v>
      </c>
    </row>
    <row r="9" spans="1:8" x14ac:dyDescent="0.4">
      <c r="E9" s="22" t="s">
        <v>169</v>
      </c>
      <c r="F9" s="35" t="s">
        <v>141</v>
      </c>
      <c r="H9" s="44">
        <v>12900</v>
      </c>
    </row>
    <row r="10" spans="1:8" x14ac:dyDescent="0.4">
      <c r="E10" s="22" t="s">
        <v>169</v>
      </c>
      <c r="F10" t="s">
        <v>149</v>
      </c>
      <c r="H10" s="45">
        <v>2200</v>
      </c>
    </row>
    <row r="11" spans="1:8" x14ac:dyDescent="0.4">
      <c r="E11" s="22" t="s">
        <v>221</v>
      </c>
      <c r="F11" t="s">
        <v>178</v>
      </c>
      <c r="H11" s="45">
        <v>312790</v>
      </c>
    </row>
    <row r="18" spans="5:8" x14ac:dyDescent="0.4">
      <c r="E18" s="167" t="s">
        <v>293</v>
      </c>
      <c r="F18" s="168"/>
      <c r="G18" s="167"/>
      <c r="H18" s="169">
        <f>SUM(H9:H17)</f>
        <v>327890</v>
      </c>
    </row>
    <row r="20" spans="5:8" x14ac:dyDescent="0.4">
      <c r="E20" s="170" t="s">
        <v>138</v>
      </c>
      <c r="F20" s="170"/>
      <c r="G20" s="170"/>
      <c r="H20" s="171">
        <f>H4-H18</f>
        <v>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3:L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1.3046875" bestFit="1" customWidth="1"/>
    <col min="6" max="6" width="12.3828125" bestFit="1" customWidth="1"/>
    <col min="7" max="7" width="11" bestFit="1" customWidth="1"/>
    <col min="8" max="8" width="16.53515625" bestFit="1" customWidth="1"/>
    <col min="10" max="12" width="12.15234375" bestFit="1" customWidth="1"/>
  </cols>
  <sheetData>
    <row r="3" spans="1:12" x14ac:dyDescent="0.4">
      <c r="A3" s="39" t="s">
        <v>127</v>
      </c>
      <c r="B3" s="38" t="s">
        <v>128</v>
      </c>
      <c r="C3" s="39" t="s">
        <v>129</v>
      </c>
      <c r="D3" s="40" t="s">
        <v>86</v>
      </c>
      <c r="E3" s="40" t="s">
        <v>87</v>
      </c>
      <c r="F3" s="39" t="s">
        <v>130</v>
      </c>
      <c r="G3" s="39" t="s">
        <v>131</v>
      </c>
      <c r="H3" s="41" t="s">
        <v>132</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 AHU 5N (5 &amp; 6) Replacement</v>
      </c>
      <c r="F4" s="11" t="str">
        <f>VLOOKUP(A4,'Project Status'!C:J,8,FALSE)</f>
        <v>Construction</v>
      </c>
      <c r="G4" s="11" t="str">
        <f>VLOOKUP(A4,'Project Status'!C:K,9,FALSE)</f>
        <v>Hans Mooy</v>
      </c>
      <c r="H4" s="42">
        <f>VLOOKUP(A4,'Project Status'!C:M,11,FALSE)</f>
        <v>139640</v>
      </c>
    </row>
    <row r="5" spans="1:12" x14ac:dyDescent="0.4">
      <c r="H5" s="44"/>
    </row>
    <row r="6" spans="1:12" x14ac:dyDescent="0.4">
      <c r="H6" s="44"/>
      <c r="J6" s="80">
        <v>0.75</v>
      </c>
      <c r="K6" s="80">
        <v>0.25</v>
      </c>
    </row>
    <row r="7" spans="1:12" ht="15" thickBot="1" x14ac:dyDescent="0.45">
      <c r="H7" s="44"/>
      <c r="J7" s="81" t="s">
        <v>183</v>
      </c>
      <c r="K7" s="81" t="s">
        <v>184</v>
      </c>
    </row>
    <row r="8" spans="1:12" x14ac:dyDescent="0.4">
      <c r="E8" s="43" t="s">
        <v>126</v>
      </c>
      <c r="H8" s="44"/>
    </row>
    <row r="9" spans="1:12" x14ac:dyDescent="0.4">
      <c r="E9" s="34" t="s">
        <v>185</v>
      </c>
      <c r="H9" s="77">
        <f>39900+3000+3590</f>
        <v>46490</v>
      </c>
      <c r="J9" s="45"/>
      <c r="K9" s="45"/>
    </row>
    <row r="10" spans="1:12" x14ac:dyDescent="0.4">
      <c r="E10" s="22" t="s">
        <v>179</v>
      </c>
      <c r="F10" t="s">
        <v>178</v>
      </c>
      <c r="H10" s="44">
        <f>J10</f>
        <v>937.5</v>
      </c>
      <c r="I10" s="80"/>
      <c r="J10" s="45">
        <f>L10*J6</f>
        <v>937.5</v>
      </c>
      <c r="K10" s="45">
        <f>L10*K6</f>
        <v>312.5</v>
      </c>
      <c r="L10" s="76">
        <v>1250</v>
      </c>
    </row>
    <row r="11" spans="1:12" x14ac:dyDescent="0.4">
      <c r="E11" s="22" t="s">
        <v>179</v>
      </c>
      <c r="F11" s="35" t="s">
        <v>176</v>
      </c>
      <c r="H11" s="44">
        <f>J11</f>
        <v>61425</v>
      </c>
      <c r="J11" s="45">
        <f>L11*J6</f>
        <v>61425</v>
      </c>
      <c r="K11" s="45">
        <f>L11*K6</f>
        <v>20475</v>
      </c>
      <c r="L11" s="76">
        <v>81900</v>
      </c>
    </row>
    <row r="12" spans="1:12" x14ac:dyDescent="0.4">
      <c r="E12" s="34" t="s">
        <v>186</v>
      </c>
      <c r="F12" s="35"/>
      <c r="H12" s="77">
        <f>K10+K11</f>
        <v>20787.5</v>
      </c>
      <c r="J12" s="45"/>
      <c r="K12" s="45"/>
    </row>
    <row r="13" spans="1:12" x14ac:dyDescent="0.4">
      <c r="E13" s="22" t="s">
        <v>233</v>
      </c>
      <c r="F13" t="s">
        <v>227</v>
      </c>
      <c r="H13" s="113">
        <f>J13</f>
        <v>7500</v>
      </c>
      <c r="J13" s="45">
        <f>L13*J6</f>
        <v>7500</v>
      </c>
      <c r="K13" s="45">
        <f>L13*K6</f>
        <v>2500</v>
      </c>
      <c r="L13" s="76">
        <v>10000</v>
      </c>
    </row>
    <row r="14" spans="1:12" x14ac:dyDescent="0.4">
      <c r="E14" s="34" t="s">
        <v>234</v>
      </c>
      <c r="H14" s="111">
        <f>K13</f>
        <v>2500</v>
      </c>
      <c r="J14" s="45"/>
      <c r="K14" s="45"/>
    </row>
    <row r="15" spans="1:12" x14ac:dyDescent="0.4">
      <c r="H15" s="46">
        <f>SUM(H9:H14)</f>
        <v>139640</v>
      </c>
    </row>
    <row r="17" spans="5:8" x14ac:dyDescent="0.4">
      <c r="F17" s="10"/>
      <c r="G17" s="10"/>
      <c r="H17" s="79"/>
    </row>
    <row r="18" spans="5:8" x14ac:dyDescent="0.4">
      <c r="E18" s="167" t="s">
        <v>293</v>
      </c>
      <c r="F18" s="168"/>
      <c r="G18" s="167"/>
      <c r="H18" s="169">
        <f>H10+H11+H13</f>
        <v>69862.5</v>
      </c>
    </row>
    <row r="20" spans="5:8" x14ac:dyDescent="0.4">
      <c r="E20" s="170" t="s">
        <v>138</v>
      </c>
      <c r="F20" s="170"/>
      <c r="G20" s="170"/>
      <c r="H20" s="171">
        <f>H4-H15</f>
        <v>0</v>
      </c>
    </row>
  </sheetData>
  <pageMargins left="0.7" right="0.7" top="0.75" bottom="0.75" header="0.3" footer="0.3"/>
  <pageSetup paperSize="5" scale="85"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theme="4"/>
  </sheetPr>
  <dimension ref="A3:L20"/>
  <sheetViews>
    <sheetView zoomScale="90" zoomScaleNormal="90" workbookViewId="0">
      <selection activeCell="E13" sqref="E13"/>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51.53515625" bestFit="1" customWidth="1"/>
    <col min="6" max="6" width="7.69140625" bestFit="1" customWidth="1"/>
    <col min="7" max="7" width="13.3046875" bestFit="1" customWidth="1"/>
    <col min="8" max="8" width="16.53515625" bestFit="1" customWidth="1"/>
    <col min="10" max="12" width="15" bestFit="1" customWidth="1"/>
  </cols>
  <sheetData>
    <row r="3" spans="1:12" x14ac:dyDescent="0.4">
      <c r="A3" s="39" t="s">
        <v>127</v>
      </c>
      <c r="B3" s="38" t="s">
        <v>128</v>
      </c>
      <c r="C3" s="39" t="s">
        <v>129</v>
      </c>
      <c r="D3" s="40" t="s">
        <v>86</v>
      </c>
      <c r="E3" s="40" t="s">
        <v>87</v>
      </c>
      <c r="F3" s="39" t="s">
        <v>130</v>
      </c>
      <c r="G3" s="39" t="s">
        <v>131</v>
      </c>
      <c r="H3" s="41" t="s">
        <v>132</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Status'!C:J,8,FALSE)</f>
        <v>Bidding</v>
      </c>
      <c r="G4" s="11" t="str">
        <f>VLOOKUP(A4,'Project Status'!C:K,9,FALSE)</f>
        <v>Cathy Bartlett</v>
      </c>
      <c r="H4" s="42">
        <f>VLOOKUP(A4,'Project Status'!C:M,11,FALSE)</f>
        <v>2790000</v>
      </c>
    </row>
    <row r="5" spans="1:12" x14ac:dyDescent="0.4">
      <c r="H5" s="44"/>
    </row>
    <row r="6" spans="1:12" x14ac:dyDescent="0.4">
      <c r="H6" s="44"/>
      <c r="J6" s="80"/>
      <c r="K6" s="80"/>
    </row>
    <row r="7" spans="1:12" ht="15" thickBot="1" x14ac:dyDescent="0.45">
      <c r="H7" s="44"/>
      <c r="J7" s="81" t="s">
        <v>183</v>
      </c>
      <c r="K7" s="81" t="s">
        <v>122</v>
      </c>
    </row>
    <row r="8" spans="1:12" x14ac:dyDescent="0.4">
      <c r="E8" s="43" t="s">
        <v>126</v>
      </c>
      <c r="H8" s="44"/>
    </row>
    <row r="9" spans="1:12" x14ac:dyDescent="0.4">
      <c r="E9" t="s">
        <v>248</v>
      </c>
      <c r="F9" t="s">
        <v>141</v>
      </c>
      <c r="H9" s="44">
        <f>J9</f>
        <v>12100</v>
      </c>
      <c r="J9" s="45">
        <v>12100</v>
      </c>
      <c r="K9" s="45">
        <v>6900</v>
      </c>
      <c r="L9" s="76">
        <v>19000</v>
      </c>
    </row>
    <row r="10" spans="1:12" x14ac:dyDescent="0.4">
      <c r="E10" s="34" t="s">
        <v>249</v>
      </c>
      <c r="F10" s="35"/>
      <c r="H10" s="77">
        <f>K9</f>
        <v>6900</v>
      </c>
      <c r="I10" s="80"/>
      <c r="J10" s="45"/>
      <c r="K10" s="45"/>
    </row>
    <row r="11" spans="1:12" x14ac:dyDescent="0.4">
      <c r="E11" s="182" t="s">
        <v>294</v>
      </c>
      <c r="F11" t="s">
        <v>220</v>
      </c>
      <c r="H11" s="44">
        <v>69000</v>
      </c>
      <c r="J11" s="45">
        <v>69000</v>
      </c>
      <c r="K11" s="45">
        <v>32500</v>
      </c>
      <c r="L11" s="76">
        <v>101500</v>
      </c>
    </row>
    <row r="12" spans="1:12" x14ac:dyDescent="0.4">
      <c r="E12" s="34" t="s">
        <v>249</v>
      </c>
      <c r="H12" s="111">
        <v>32500</v>
      </c>
      <c r="J12" s="45"/>
      <c r="K12" s="45"/>
    </row>
    <row r="13" spans="1:12" x14ac:dyDescent="0.4">
      <c r="E13" s="34" t="s">
        <v>222</v>
      </c>
      <c r="F13" t="s">
        <v>149</v>
      </c>
      <c r="H13" s="113">
        <f>SUM(1110000-H11-H9)</f>
        <v>1028900</v>
      </c>
      <c r="J13" s="44">
        <v>1028900</v>
      </c>
      <c r="K13" s="44">
        <v>1640600</v>
      </c>
      <c r="L13" s="76">
        <f>SUM(J13:K13)</f>
        <v>2669500</v>
      </c>
    </row>
    <row r="14" spans="1:12" x14ac:dyDescent="0.4">
      <c r="E14" s="34" t="s">
        <v>351</v>
      </c>
      <c r="H14" s="111">
        <f>SUM(1680000-H12-H10)</f>
        <v>1640600</v>
      </c>
      <c r="J14" s="45"/>
      <c r="K14" s="45"/>
    </row>
    <row r="15" spans="1:12" x14ac:dyDescent="0.4">
      <c r="F15" s="10"/>
      <c r="G15" s="10"/>
      <c r="H15" s="111"/>
    </row>
    <row r="16" spans="1:12" x14ac:dyDescent="0.4">
      <c r="H16" s="46">
        <f>SUM(H9:H14)</f>
        <v>2790000</v>
      </c>
    </row>
    <row r="18" spans="5:8" x14ac:dyDescent="0.4">
      <c r="E18" s="167" t="s">
        <v>293</v>
      </c>
      <c r="F18" s="168"/>
      <c r="G18" s="167"/>
      <c r="H18" s="169">
        <f>H9+H11+H13</f>
        <v>1110000</v>
      </c>
    </row>
    <row r="20" spans="5:8" x14ac:dyDescent="0.4">
      <c r="E20" s="170" t="s">
        <v>138</v>
      </c>
      <c r="F20" s="170"/>
      <c r="G20" s="170"/>
      <c r="H20" s="171">
        <f>H4-H16</f>
        <v>0</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3: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46" bestFit="1" customWidth="1"/>
    <col min="6" max="6" width="7" bestFit="1" customWidth="1"/>
    <col min="7" max="7" width="11" bestFit="1" customWidth="1"/>
    <col min="8" max="8" width="16.53515625" bestFit="1" customWidth="1"/>
    <col min="10" max="12" width="11.53515625" bestFit="1" customWidth="1"/>
  </cols>
  <sheetData>
    <row r="3" spans="1:11" x14ac:dyDescent="0.4">
      <c r="A3" s="39" t="s">
        <v>127</v>
      </c>
      <c r="B3" s="38" t="s">
        <v>128</v>
      </c>
      <c r="C3" s="39" t="s">
        <v>129</v>
      </c>
      <c r="D3" s="40" t="s">
        <v>86</v>
      </c>
      <c r="E3" s="40" t="s">
        <v>87</v>
      </c>
      <c r="F3" s="39" t="s">
        <v>130</v>
      </c>
      <c r="G3" s="39" t="s">
        <v>131</v>
      </c>
      <c r="H3" s="41" t="s">
        <v>132</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 AHU 1N (1&amp;3) Replacement with Benton</v>
      </c>
      <c r="F4" s="11" t="str">
        <f>VLOOKUP(A4,'Project Status'!C:J,8,FALSE)</f>
        <v>Design</v>
      </c>
      <c r="G4" s="11" t="str">
        <f>VLOOKUP(A4,'Project Status'!C:K,9,FALSE)</f>
        <v>Hans Mooy</v>
      </c>
      <c r="H4" s="42">
        <f>VLOOKUP(A4,'Project Status'!C:M,11,FALSE)</f>
        <v>26500</v>
      </c>
    </row>
    <row r="5" spans="1:11" x14ac:dyDescent="0.4">
      <c r="H5" s="44"/>
    </row>
    <row r="6" spans="1:11" x14ac:dyDescent="0.4">
      <c r="H6" s="44"/>
      <c r="J6" s="80"/>
      <c r="K6" s="80"/>
    </row>
    <row r="7" spans="1:11" x14ac:dyDescent="0.4">
      <c r="H7" s="44"/>
    </row>
    <row r="8" spans="1:11" x14ac:dyDescent="0.4">
      <c r="E8" s="43" t="s">
        <v>126</v>
      </c>
      <c r="H8" s="44"/>
    </row>
    <row r="9" spans="1:11" x14ac:dyDescent="0.4">
      <c r="E9" t="s">
        <v>248</v>
      </c>
      <c r="F9" t="s">
        <v>141</v>
      </c>
      <c r="H9" s="44">
        <v>26500</v>
      </c>
    </row>
    <row r="10" spans="1:11" x14ac:dyDescent="0.4">
      <c r="E10" s="22"/>
      <c r="F10" s="35"/>
      <c r="H10" s="44"/>
    </row>
    <row r="11" spans="1:11" x14ac:dyDescent="0.4">
      <c r="E11" s="34"/>
      <c r="F11" s="34"/>
      <c r="G11" s="34"/>
      <c r="H11" s="34"/>
      <c r="I11" s="34"/>
    </row>
    <row r="12" spans="1:11" x14ac:dyDescent="0.4">
      <c r="E12" s="22"/>
      <c r="F12" s="22"/>
      <c r="G12" s="22"/>
      <c r="H12" s="22"/>
      <c r="I12" s="22"/>
    </row>
    <row r="13" spans="1:11" x14ac:dyDescent="0.4">
      <c r="E13" s="34"/>
      <c r="F13" s="34"/>
      <c r="G13" s="34"/>
      <c r="H13" s="34"/>
      <c r="I13" s="34"/>
    </row>
    <row r="14" spans="1:11" x14ac:dyDescent="0.4">
      <c r="J14" s="45"/>
      <c r="K14" s="45"/>
    </row>
    <row r="18" spans="5:8" x14ac:dyDescent="0.4">
      <c r="E18" s="167" t="s">
        <v>293</v>
      </c>
      <c r="F18" s="168"/>
      <c r="G18" s="167"/>
      <c r="H18" s="169">
        <f>SUM(H9:H17)</f>
        <v>26500</v>
      </c>
    </row>
    <row r="20" spans="5:8" x14ac:dyDescent="0.4">
      <c r="E20" s="170" t="s">
        <v>138</v>
      </c>
      <c r="F20" s="170"/>
      <c r="G20" s="170"/>
      <c r="H20" s="171">
        <f>H4-H18</f>
        <v>0</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4"/>
    <pageSetUpPr fitToPage="1"/>
  </sheetPr>
  <dimension ref="A3:H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12.38281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Status'!C:J,8,FALSE)</f>
        <v>Construction</v>
      </c>
      <c r="G4" s="11" t="str">
        <f>VLOOKUP(A4,'Project Status'!C:K,9,FALSE)</f>
        <v>Ben Bedock</v>
      </c>
      <c r="H4" s="42">
        <f>VLOOKUP(A4,'Project Status'!C:M,11,FALSE)</f>
        <v>456850</v>
      </c>
    </row>
    <row r="8" spans="1:8" x14ac:dyDescent="0.4">
      <c r="E8" s="43" t="s">
        <v>126</v>
      </c>
    </row>
    <row r="9" spans="1:8" x14ac:dyDescent="0.4">
      <c r="E9" s="22" t="s">
        <v>136</v>
      </c>
      <c r="F9" s="35">
        <v>44769</v>
      </c>
      <c r="H9" s="44">
        <v>79415.5</v>
      </c>
    </row>
    <row r="10" spans="1:8" x14ac:dyDescent="0.4">
      <c r="E10" s="34" t="s">
        <v>139</v>
      </c>
      <c r="F10" s="20"/>
      <c r="G10" s="20"/>
      <c r="H10" s="82">
        <f>372434.5+5000</f>
        <v>377434.5</v>
      </c>
    </row>
    <row r="11" spans="1:8" x14ac:dyDescent="0.4">
      <c r="H11" s="46">
        <f>SUM(H9:H10)</f>
        <v>456850</v>
      </c>
    </row>
    <row r="13" spans="1:8" x14ac:dyDescent="0.4">
      <c r="F13" s="10"/>
      <c r="G13" s="10"/>
      <c r="H13" s="47"/>
    </row>
    <row r="18" spans="5:8" x14ac:dyDescent="0.4">
      <c r="E18" s="167" t="s">
        <v>293</v>
      </c>
      <c r="F18" s="168"/>
      <c r="G18" s="167"/>
      <c r="H18" s="169">
        <f>H9</f>
        <v>79415.5</v>
      </c>
    </row>
    <row r="20" spans="5:8" x14ac:dyDescent="0.4">
      <c r="E20" s="170" t="s">
        <v>138</v>
      </c>
      <c r="F20" s="170"/>
      <c r="G20" s="170"/>
      <c r="H20" s="171">
        <f>H4-H11</f>
        <v>0</v>
      </c>
    </row>
  </sheetData>
  <pageMargins left="0.7" right="0.7" top="0.75" bottom="0.75" header="0.3" footer="0.3"/>
  <pageSetup scale="6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12.38281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Status'!C:J,8,FALSE)</f>
        <v>Construction</v>
      </c>
      <c r="G4" s="11" t="str">
        <f>VLOOKUP(A4,'Project Status'!C:K,9,FALSE)</f>
        <v>Ben Bedock</v>
      </c>
      <c r="H4" s="101">
        <f>VLOOKUP(A4,'Project Status'!C:M,11,FALSE)</f>
        <v>344155.26</v>
      </c>
    </row>
    <row r="8" spans="1:8" x14ac:dyDescent="0.4">
      <c r="E8" s="43" t="s">
        <v>126</v>
      </c>
    </row>
    <row r="9" spans="1:8" x14ac:dyDescent="0.4">
      <c r="E9" s="172" t="s">
        <v>294</v>
      </c>
      <c r="F9" s="35" t="s">
        <v>141</v>
      </c>
      <c r="H9" s="44">
        <v>344155.26</v>
      </c>
    </row>
    <row r="13" spans="1:8" x14ac:dyDescent="0.4">
      <c r="F13" s="10"/>
      <c r="G13" s="10"/>
      <c r="H13" s="47"/>
    </row>
    <row r="18" spans="5:8" x14ac:dyDescent="0.4">
      <c r="E18" s="167" t="s">
        <v>293</v>
      </c>
      <c r="F18" s="168"/>
      <c r="G18" s="167"/>
      <c r="H18" s="169">
        <f>SUM(H9:H17)</f>
        <v>344155.26</v>
      </c>
    </row>
    <row r="20" spans="5:8" x14ac:dyDescent="0.4">
      <c r="E20" s="170" t="s">
        <v>138</v>
      </c>
      <c r="F20" s="170"/>
      <c r="G20" s="170"/>
      <c r="H20" s="171">
        <f>H4-H18</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12.3828125"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Status'!C:J,8,FALSE)</f>
        <v>Construction</v>
      </c>
      <c r="G4" s="11" t="str">
        <f>VLOOKUP(A4,'Project Status'!C:K,9,FALSE)</f>
        <v>Sean Rewers</v>
      </c>
      <c r="H4" s="101">
        <f>VLOOKUP(A4,'Project Status'!C:M,11,FALSE)</f>
        <v>405791</v>
      </c>
    </row>
    <row r="8" spans="1:8" x14ac:dyDescent="0.4">
      <c r="E8" s="43" t="s">
        <v>126</v>
      </c>
    </row>
    <row r="9" spans="1:8" x14ac:dyDescent="0.4">
      <c r="E9" s="22" t="s">
        <v>240</v>
      </c>
      <c r="F9" s="35" t="s">
        <v>141</v>
      </c>
      <c r="H9" s="44">
        <v>405791</v>
      </c>
    </row>
    <row r="13" spans="1:8" x14ac:dyDescent="0.4">
      <c r="F13" s="10"/>
      <c r="G13" s="10"/>
      <c r="H13" s="47"/>
    </row>
    <row r="18" spans="5:8" x14ac:dyDescent="0.4">
      <c r="E18" s="167" t="s">
        <v>293</v>
      </c>
      <c r="F18" s="168"/>
      <c r="G18" s="167"/>
      <c r="H18" s="169">
        <f>SUM(H9:H17)</f>
        <v>405791</v>
      </c>
    </row>
    <row r="20" spans="5:8" x14ac:dyDescent="0.4">
      <c r="E20" s="170" t="s">
        <v>138</v>
      </c>
      <c r="F20" s="170"/>
      <c r="G20" s="170"/>
      <c r="H20" s="171">
        <f>H4-H18</f>
        <v>0</v>
      </c>
    </row>
  </sheetData>
  <pageMargins left="0.7" right="0.7" top="0.75" bottom="0.75" header="0.3" footer="0.3"/>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4"/>
  </sheetPr>
  <dimension ref="A3:H20"/>
  <sheetViews>
    <sheetView zoomScale="90" zoomScaleNormal="90" workbookViewId="0">
      <selection activeCell="H20" sqref="H20"/>
    </sheetView>
  </sheetViews>
  <sheetFormatPr defaultColWidth="8.15234375" defaultRowHeight="14.6" x14ac:dyDescent="0.4"/>
  <cols>
    <col min="1" max="1" width="8.53515625" bestFit="1" customWidth="1"/>
    <col min="2" max="2" width="6.69140625" bestFit="1" customWidth="1"/>
    <col min="3" max="3" width="11" bestFit="1" customWidth="1"/>
    <col min="4" max="4" width="40.15234375" bestFit="1" customWidth="1"/>
    <col min="5" max="5" width="45.69140625" bestFit="1" customWidth="1"/>
    <col min="6" max="6" width="12.38281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Status'!C:J,8,FALSE)</f>
        <v>Construction</v>
      </c>
      <c r="G4" s="11" t="str">
        <f>VLOOKUP(A4,'Project Status'!C:K,9,FALSE)</f>
        <v>Ben Bedock</v>
      </c>
      <c r="H4" s="42">
        <f>VLOOKUP(A4,'Project Status'!C:M,11,FALSE)</f>
        <v>781870</v>
      </c>
    </row>
    <row r="8" spans="1:8" x14ac:dyDescent="0.4">
      <c r="E8" s="43" t="s">
        <v>126</v>
      </c>
    </row>
    <row r="9" spans="1:8" x14ac:dyDescent="0.4">
      <c r="E9" s="22" t="s">
        <v>169</v>
      </c>
      <c r="F9" s="35" t="s">
        <v>141</v>
      </c>
      <c r="H9" s="112">
        <v>17050</v>
      </c>
    </row>
    <row r="10" spans="1:8" x14ac:dyDescent="0.4">
      <c r="E10" s="22" t="s">
        <v>233</v>
      </c>
      <c r="F10" t="s">
        <v>220</v>
      </c>
      <c r="H10" s="45">
        <v>764820</v>
      </c>
    </row>
    <row r="18" spans="5:8" x14ac:dyDescent="0.4">
      <c r="E18" s="167" t="s">
        <v>293</v>
      </c>
      <c r="F18" s="168"/>
      <c r="G18" s="167"/>
      <c r="H18" s="169">
        <f>SUM(H9:H17)</f>
        <v>781870</v>
      </c>
    </row>
    <row r="20" spans="5:8" x14ac:dyDescent="0.4">
      <c r="E20" s="170" t="s">
        <v>138</v>
      </c>
      <c r="F20" s="170"/>
      <c r="G20" s="170"/>
      <c r="H20" s="171">
        <f>H4-H18</f>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sheetPr>
  <dimension ref="A1:H39"/>
  <sheetViews>
    <sheetView zoomScaleNormal="100" workbookViewId="0">
      <pane ySplit="5" topLeftCell="A6" activePane="bottomLeft" state="frozen"/>
      <selection activeCell="A58" sqref="A58:A79"/>
      <selection pane="bottomLeft" activeCell="A58" sqref="A58:A79"/>
    </sheetView>
  </sheetViews>
  <sheetFormatPr defaultRowHeight="14.6" x14ac:dyDescent="0.4"/>
  <cols>
    <col min="1" max="1" width="3.3046875" bestFit="1" customWidth="1"/>
    <col min="2" max="2" width="17.3828125" bestFit="1" customWidth="1"/>
    <col min="3" max="3" width="9.69140625" customWidth="1"/>
    <col min="4" max="4" width="18.3046875" bestFit="1" customWidth="1"/>
    <col min="5" max="5" width="64.3046875" bestFit="1" customWidth="1"/>
    <col min="6" max="6" width="14.3828125" style="44" bestFit="1" customWidth="1"/>
    <col min="7" max="8" width="14" style="44" bestFit="1" customWidth="1"/>
  </cols>
  <sheetData>
    <row r="1" spans="1:8" s="8" customFormat="1" x14ac:dyDescent="0.4">
      <c r="B1" s="10" t="s">
        <v>195</v>
      </c>
      <c r="D1" s="10"/>
      <c r="F1" s="72"/>
      <c r="G1" s="72"/>
      <c r="H1" s="72"/>
    </row>
    <row r="2" spans="1:8" s="8" customFormat="1" x14ac:dyDescent="0.4">
      <c r="B2" s="95" t="s">
        <v>112</v>
      </c>
      <c r="C2" s="96">
        <v>45086</v>
      </c>
      <c r="D2" s="35"/>
      <c r="F2" s="72"/>
      <c r="G2" s="72"/>
      <c r="H2" s="72"/>
    </row>
    <row r="4" spans="1:8" x14ac:dyDescent="0.4">
      <c r="B4" s="10" t="s">
        <v>113</v>
      </c>
      <c r="C4" s="10"/>
      <c r="D4" s="10"/>
      <c r="F4" s="73" t="s">
        <v>173</v>
      </c>
      <c r="G4" s="73" t="s">
        <v>174</v>
      </c>
      <c r="H4" s="73" t="s">
        <v>174</v>
      </c>
    </row>
    <row r="5" spans="1:8" ht="29.15" x14ac:dyDescent="0.4">
      <c r="B5" s="66" t="s">
        <v>171</v>
      </c>
      <c r="C5" s="67" t="s">
        <v>170</v>
      </c>
      <c r="D5" s="66" t="s">
        <v>86</v>
      </c>
      <c r="E5" s="23" t="s">
        <v>172</v>
      </c>
      <c r="F5" s="74" t="s">
        <v>231</v>
      </c>
      <c r="G5" s="75" t="s">
        <v>232</v>
      </c>
      <c r="H5" s="131" t="s">
        <v>262</v>
      </c>
    </row>
    <row r="6" spans="1:8" x14ac:dyDescent="0.4">
      <c r="A6" s="110">
        <v>1</v>
      </c>
      <c r="B6" t="str">
        <f>VLOOKUP(C6,'Project Status'!C:J,8,FALSE)</f>
        <v>Financial Closeout</v>
      </c>
      <c r="C6" s="62">
        <v>10085</v>
      </c>
      <c r="D6" s="27" t="str">
        <f>VLOOKUP(C6,'Project Status'!C:G,5,FALSE)</f>
        <v>Peabody</v>
      </c>
      <c r="E6" t="str">
        <f>VLOOKUP(C6,'Project Status'!C:I,7,FALSE)</f>
        <v>One Magnolia Circle - Modify/Upgrade Electrical and Grounding</v>
      </c>
      <c r="F6" s="108">
        <f>VLOOKUP(C6,'Project Status'!C:L,10,FALSE)</f>
        <v>17500</v>
      </c>
      <c r="G6" s="109">
        <f>VLOOKUP(C6,'Project Status'!C:T,17,FALSE)</f>
        <v>22000</v>
      </c>
      <c r="H6" s="132">
        <f>VLOOKUP(C6,'Project Status'!C:T,18,FALSE)</f>
        <v>0</v>
      </c>
    </row>
    <row r="7" spans="1:8" x14ac:dyDescent="0.4">
      <c r="A7" s="110">
        <v>2</v>
      </c>
      <c r="B7" t="str">
        <f>VLOOKUP(C7,'Project Status'!C:J,8,FALSE)</f>
        <v>Closeout</v>
      </c>
      <c r="C7" s="62">
        <v>10098</v>
      </c>
      <c r="D7" s="27" t="str">
        <f>VLOOKUP(C7,'Project Status'!C:G,5,FALSE)</f>
        <v>SOM Basic Sciences</v>
      </c>
      <c r="E7" t="str">
        <f>VLOOKUP(C7,'Project Status'!C:I,7,FALSE)</f>
        <v>MRB III 4th Floor - Replace Controls (Phase 2)</v>
      </c>
      <c r="F7" s="108">
        <f>VLOOKUP(C7,'Project Status'!C:L,10,FALSE)</f>
        <v>1216485.5</v>
      </c>
      <c r="G7" s="109">
        <f>VLOOKUP(C7,'Project Status'!C:T,17,FALSE)</f>
        <v>1216485.5</v>
      </c>
      <c r="H7" s="132">
        <f>VLOOKUP(C7,'Project Status'!C:T,18,FALSE)</f>
        <v>0</v>
      </c>
    </row>
    <row r="8" spans="1:8" x14ac:dyDescent="0.4">
      <c r="A8" s="110">
        <v>3</v>
      </c>
      <c r="B8" t="str">
        <f>VLOOKUP(C8,'Project Status'!C:J,8,FALSE)</f>
        <v>Design</v>
      </c>
      <c r="C8" s="62">
        <v>10146</v>
      </c>
      <c r="D8" s="27" t="str">
        <f>VLOOKUP(C8,'Project Status'!C:G,5,FALSE)</f>
        <v>Nursing</v>
      </c>
      <c r="E8" t="str">
        <f>VLOOKUP(C8,'Project Status'!C:I,7,FALSE)</f>
        <v>Godchaux Hall - HVAC Upgrade</v>
      </c>
      <c r="F8" s="108">
        <f>VLOOKUP(C8,'Project Status'!C:L,10,FALSE)</f>
        <v>0</v>
      </c>
      <c r="G8" s="109">
        <f>VLOOKUP(C8,'Project Status'!C:T,17,FALSE)</f>
        <v>4900</v>
      </c>
      <c r="H8" s="132" t="str">
        <f>VLOOKUP(C8,'Project Status'!C:T,18,FALSE)</f>
        <v>TBD</v>
      </c>
    </row>
    <row r="9" spans="1:8" x14ac:dyDescent="0.4">
      <c r="A9" s="110">
        <v>4</v>
      </c>
      <c r="B9" t="str">
        <f>VLOOKUP(C9,'Project Status'!C:J,8,FALSE)</f>
        <v>Closeout</v>
      </c>
      <c r="C9" s="62">
        <v>20179</v>
      </c>
      <c r="D9" s="27" t="str">
        <f>VLOOKUP(C9,'Project Status'!C:G,5,FALSE)</f>
        <v>Law</v>
      </c>
      <c r="E9" t="str">
        <f>VLOOKUP(C9,'Project Status'!C:I,7,FALSE)</f>
        <v>Law School - Fire Alarm System Replacement</v>
      </c>
      <c r="F9" s="108">
        <f>VLOOKUP(C9,'Project Status'!C:L,10,FALSE)</f>
        <v>1445389</v>
      </c>
      <c r="G9" s="109">
        <f>VLOOKUP(C9,'Project Status'!C:T,17,FALSE)</f>
        <v>722694.5</v>
      </c>
      <c r="H9" s="132">
        <f>VLOOKUP(C9,'Project Status'!C:T,18,FALSE)</f>
        <v>0</v>
      </c>
    </row>
    <row r="10" spans="1:8" x14ac:dyDescent="0.4">
      <c r="A10" s="110">
        <v>5</v>
      </c>
      <c r="B10" t="str">
        <f>VLOOKUP(C10,'Project Status'!C:J,8,FALSE)</f>
        <v>Construction</v>
      </c>
      <c r="C10" s="62">
        <v>20336</v>
      </c>
      <c r="D10" s="27" t="str">
        <f>VLOOKUP(C10,'Project Status'!C:G,5,FALSE)</f>
        <v>Blair</v>
      </c>
      <c r="E10" t="str">
        <f>VLOOKUP(C10,'Project Status'!C:I,7,FALSE)</f>
        <v>Blair School of Music - Elevator #3 Modernization</v>
      </c>
      <c r="F10" s="108">
        <f>VLOOKUP(C10,'Project Status'!C:L,10,FALSE)</f>
        <v>327890</v>
      </c>
      <c r="G10" s="109">
        <f>VLOOKUP(C10,'Project Status'!C:T,17,FALSE)</f>
        <v>327890</v>
      </c>
      <c r="H10" s="132">
        <f>VLOOKUP(C10,'Project Status'!C:T,18,FALSE)</f>
        <v>0</v>
      </c>
    </row>
    <row r="11" spans="1:8" x14ac:dyDescent="0.4">
      <c r="A11" s="110">
        <v>6</v>
      </c>
      <c r="B11" t="str">
        <f>VLOOKUP(C11,'Project Status'!C:J,8,FALSE)</f>
        <v>Construction</v>
      </c>
      <c r="C11" s="62">
        <v>20431</v>
      </c>
      <c r="D11" s="27" t="str">
        <f>VLOOKUP(C11,'Project Status'!C:G,5,FALSE)</f>
        <v>Divinity</v>
      </c>
      <c r="E11" t="str">
        <f>VLOOKUP(C11,'Project Status'!C:I,7,FALSE)</f>
        <v>Divinity - AHU 5N (5 &amp; 6) Replacement</v>
      </c>
      <c r="F11" s="108">
        <f>VLOOKUP(C11,'Project Status'!C:L,10,FALSE)</f>
        <v>4375000</v>
      </c>
      <c r="G11" s="109">
        <f>VLOOKUP(C11,'Project Status'!C:T,17,FALSE)</f>
        <v>69862.5</v>
      </c>
      <c r="H11" s="132">
        <f>VLOOKUP(C11,'Project Status'!C:T,18,FALSE)</f>
        <v>4000000</v>
      </c>
    </row>
    <row r="12" spans="1:8" x14ac:dyDescent="0.4">
      <c r="A12" s="110">
        <v>7</v>
      </c>
      <c r="B12" t="str">
        <f>VLOOKUP(C12,'Project Status'!C:J,8,FALSE)</f>
        <v>Bidding</v>
      </c>
      <c r="C12" s="62">
        <v>20478</v>
      </c>
      <c r="D12" s="27" t="str">
        <f>VLOOKUP(C12,'Project Status'!C:G,5,FALSE)</f>
        <v>Arts &amp; Science</v>
      </c>
      <c r="E12" t="str">
        <f>VLOOKUP(C12,'Project Status'!C:I,7,FALSE)</f>
        <v>Bryan Building - Swing Space Renovation - A&amp;S Planning</v>
      </c>
      <c r="F12" s="108">
        <f>VLOOKUP(C12,'Project Status'!C:L,10,FALSE)</f>
        <v>2910000</v>
      </c>
      <c r="G12" s="109">
        <f>VLOOKUP(C12,'Project Status'!C:T,17,FALSE)</f>
        <v>81100</v>
      </c>
      <c r="H12" s="132">
        <f>VLOOKUP(C12,'Project Status'!C:T,18,FALSE)</f>
        <v>1028900</v>
      </c>
    </row>
    <row r="13" spans="1:8" x14ac:dyDescent="0.4">
      <c r="A13" s="110">
        <v>8</v>
      </c>
      <c r="B13" t="str">
        <f>VLOOKUP(C13,'Project Status'!C:J,8,FALSE)</f>
        <v>Design</v>
      </c>
      <c r="C13" s="62">
        <v>20489</v>
      </c>
      <c r="D13" s="27" t="str">
        <f>VLOOKUP(C13,'Project Status'!C:G,5,FALSE)</f>
        <v>Divinity</v>
      </c>
      <c r="E13" t="str">
        <f>VLOOKUP(C13,'Project Status'!C:I,7,FALSE)</f>
        <v>Divinity - AHU 1N (1&amp;3) Replacement with Benton</v>
      </c>
      <c r="F13" s="108">
        <f>VLOOKUP(C13,'Project Status'!C:L,10,FALSE)</f>
        <v>3726000</v>
      </c>
      <c r="G13" s="109">
        <f>VLOOKUP(C13,'Project Status'!C:T,17,FALSE)</f>
        <v>26500</v>
      </c>
      <c r="H13" s="132">
        <f>VLOOKUP(C13,'Project Status'!C:T,18,FALSE)</f>
        <v>0</v>
      </c>
    </row>
    <row r="14" spans="1:8" x14ac:dyDescent="0.4">
      <c r="A14" s="110">
        <v>9</v>
      </c>
      <c r="B14" t="str">
        <f>VLOOKUP(C14,'Project Status'!C:J,8,FALSE)</f>
        <v>Construction</v>
      </c>
      <c r="C14" s="62">
        <v>20497</v>
      </c>
      <c r="D14" s="27" t="str">
        <f>VLOOKUP(C14,'Project Status'!C:G,5,FALSE)</f>
        <v>Peabody</v>
      </c>
      <c r="E14" t="str">
        <f>VLOOKUP(C14,'Project Status'!C:I,7,FALSE)</f>
        <v>Jesup - Roof Replacement</v>
      </c>
      <c r="F14" s="108">
        <f>VLOOKUP(C14,'Project Status'!C:L,10,FALSE)</f>
        <v>456850</v>
      </c>
      <c r="G14" s="109">
        <f>VLOOKUP(C14,'Project Status'!C:T,17,FALSE)</f>
        <v>79415.5</v>
      </c>
      <c r="H14" s="132">
        <f>VLOOKUP(C14,'Project Status'!C:T,18,FALSE)</f>
        <v>0</v>
      </c>
    </row>
    <row r="15" spans="1:8" x14ac:dyDescent="0.4">
      <c r="A15" s="110">
        <v>10</v>
      </c>
      <c r="B15" t="str">
        <f>VLOOKUP(C15,'Project Status'!C:J,8,FALSE)</f>
        <v>Construction</v>
      </c>
      <c r="C15" s="62">
        <v>20506</v>
      </c>
      <c r="D15" s="27" t="str">
        <f>VLOOKUP(C15,'Project Status'!C:G,5,FALSE)</f>
        <v>Peabody</v>
      </c>
      <c r="E15" t="str">
        <f>VLOOKUP(C15,'Project Status'!C:I,7,FALSE)</f>
        <v>Wyatt Center - Window Replacement</v>
      </c>
      <c r="F15" s="108">
        <f>VLOOKUP(C15,'Project Status'!C:L,10,FALSE)</f>
        <v>344155.26</v>
      </c>
      <c r="G15" s="109">
        <f>VLOOKUP(C15,'Project Status'!C:T,17,FALSE)</f>
        <v>344155.26</v>
      </c>
      <c r="H15" s="132">
        <f>VLOOKUP(C15,'Project Status'!C:T,18,FALSE)</f>
        <v>0</v>
      </c>
    </row>
    <row r="16" spans="1:8" x14ac:dyDescent="0.4">
      <c r="A16" s="110">
        <v>11</v>
      </c>
      <c r="B16" t="str">
        <f>VLOOKUP(C16,'Project Status'!C:J,8,FALSE)</f>
        <v>Construction</v>
      </c>
      <c r="C16" s="62">
        <v>20562</v>
      </c>
      <c r="D16" s="27" t="str">
        <f>VLOOKUP(C16,'Project Status'!C:G,5,FALSE)</f>
        <v>Peabody</v>
      </c>
      <c r="E16" t="str">
        <f>VLOOKUP(C16,'Project Status'!C:I,7,FALSE)</f>
        <v>Wyatt Center - VAV Replacement</v>
      </c>
      <c r="F16" s="108">
        <f>VLOOKUP(C16,'Project Status'!C:L,10,FALSE)</f>
        <v>400000</v>
      </c>
      <c r="G16" s="109">
        <f>VLOOKUP(C16,'Project Status'!C:T,17,FALSE)</f>
        <v>405791</v>
      </c>
      <c r="H16" s="132">
        <f>VLOOKUP(C16,'Project Status'!C:T,18,FALSE)</f>
        <v>0</v>
      </c>
    </row>
    <row r="17" spans="1:8" x14ac:dyDescent="0.4">
      <c r="A17" s="110">
        <v>12</v>
      </c>
      <c r="B17" t="str">
        <f>VLOOKUP(C17,'Project Status'!C:J,8,FALSE)</f>
        <v>Not Started</v>
      </c>
      <c r="C17" s="62">
        <v>20563</v>
      </c>
      <c r="D17" s="27" t="str">
        <f>VLOOKUP(C17,'Project Status'!C:G,5,FALSE)</f>
        <v>Engineering</v>
      </c>
      <c r="E17" t="str">
        <f>VLOOKUP(C17,'Project Status'!C:I,7,FALSE)</f>
        <v>Keck FEL - Roof Replacement</v>
      </c>
      <c r="F17" s="108">
        <f>VLOOKUP(C17,'Project Status'!C:L,10,FALSE)</f>
        <v>386000</v>
      </c>
      <c r="G17" s="109">
        <f>VLOOKUP(C17,'Project Status'!C:T,17,FALSE)</f>
        <v>0</v>
      </c>
      <c r="H17" s="132">
        <f>VLOOKUP(C17,'Project Status'!C:T,18,FALSE)</f>
        <v>0</v>
      </c>
    </row>
    <row r="18" spans="1:8" x14ac:dyDescent="0.4">
      <c r="A18" s="110">
        <v>13</v>
      </c>
      <c r="B18" t="str">
        <f>VLOOKUP(C18,'Project Status'!C:J,8,FALSE)</f>
        <v>Construction</v>
      </c>
      <c r="C18" s="62">
        <v>20566</v>
      </c>
      <c r="D18" s="27" t="str">
        <f>VLOOKUP(C18,'Project Status'!C:G,5,FALSE)</f>
        <v>Arts &amp; Science</v>
      </c>
      <c r="E18" t="str">
        <f>VLOOKUP(C18,'Project Status'!C:I,7,FALSE)</f>
        <v>SC Chemistry (SC7) - Elevator 1 &amp; 2 Modernization</v>
      </c>
      <c r="F18" s="108">
        <f>VLOOKUP(C18,'Project Status'!C:L,10,FALSE)</f>
        <v>781870</v>
      </c>
      <c r="G18" s="109">
        <f>VLOOKUP(C18,'Project Status'!C:T,17,FALSE)</f>
        <v>781870</v>
      </c>
      <c r="H18" s="132">
        <f>VLOOKUP(C18,'Project Status'!C:T,18,FALSE)</f>
        <v>0</v>
      </c>
    </row>
    <row r="19" spans="1:8" x14ac:dyDescent="0.4">
      <c r="A19" s="110">
        <v>14</v>
      </c>
      <c r="B19" t="str">
        <f>VLOOKUP(C19,'Project Status'!C:J,8,FALSE)</f>
        <v>Construction</v>
      </c>
      <c r="C19" s="62">
        <v>20573</v>
      </c>
      <c r="D19" s="27" t="str">
        <f>VLOOKUP(C19,'Project Status'!C:G,5,FALSE)</f>
        <v>Peabody</v>
      </c>
      <c r="E19" t="str">
        <f>VLOOKUP(C19,'Project Status'!C:I,7,FALSE)</f>
        <v>Wyatt Center - Roof Replacement</v>
      </c>
      <c r="F19" s="108">
        <f>VLOOKUP(C19,'Project Status'!C:L,10,FALSE)</f>
        <v>1232681</v>
      </c>
      <c r="G19" s="109">
        <f>VLOOKUP(C19,'Project Status'!C:T,17,FALSE)</f>
        <v>1232681</v>
      </c>
      <c r="H19" s="132">
        <f>VLOOKUP(C19,'Project Status'!C:T,18,FALSE)</f>
        <v>0</v>
      </c>
    </row>
    <row r="20" spans="1:8" x14ac:dyDescent="0.4">
      <c r="A20" s="110">
        <v>15</v>
      </c>
      <c r="B20" t="str">
        <f>VLOOKUP(C20,'Project Status'!C:J,8,FALSE)</f>
        <v>Construction</v>
      </c>
      <c r="C20" s="62">
        <v>20574</v>
      </c>
      <c r="D20" s="27" t="str">
        <f>VLOOKUP(C20,'Project Status'!C:G,5,FALSE)</f>
        <v>SOM Basic Sciences</v>
      </c>
      <c r="E20" t="str">
        <f>VLOOKUP(C20,'Project Status'!C:I,7,FALSE)</f>
        <v>MRB III - Steam Coil Replacement</v>
      </c>
      <c r="F20" s="108">
        <f>VLOOKUP(C20,'Project Status'!C:L,10,FALSE)</f>
        <v>218202</v>
      </c>
      <c r="G20" s="109">
        <f>VLOOKUP(C20,'Project Status'!C:T,17,FALSE)</f>
        <v>218202</v>
      </c>
      <c r="H20" s="132">
        <f>VLOOKUP(C20,'Project Status'!C:T,18,FALSE)</f>
        <v>0</v>
      </c>
    </row>
    <row r="21" spans="1:8" x14ac:dyDescent="0.4">
      <c r="A21" s="110">
        <v>16</v>
      </c>
      <c r="B21" t="str">
        <f>VLOOKUP(C21,'Project Status'!C:J,8,FALSE)</f>
        <v>Design</v>
      </c>
      <c r="C21" s="62">
        <v>20577</v>
      </c>
      <c r="D21" s="27" t="str">
        <f>VLOOKUP(C21,'Project Status'!C:G,5,FALSE)</f>
        <v>Blair</v>
      </c>
      <c r="E21" t="str">
        <f>VLOOKUP(C21,'Project Status'!C:I,7,FALSE)</f>
        <v>Blair School of Music - Air Handling Unit Replacement</v>
      </c>
      <c r="F21" s="108">
        <f>VLOOKUP(C21,'Project Status'!C:L,10,FALSE)</f>
        <v>4500000</v>
      </c>
      <c r="G21" s="109">
        <f>VLOOKUP(C21,'Project Status'!C:T,17,FALSE)</f>
        <v>223000</v>
      </c>
      <c r="H21" s="132">
        <f>VLOOKUP(C21,'Project Status'!C:T,18,FALSE)</f>
        <v>0</v>
      </c>
    </row>
    <row r="22" spans="1:8" x14ac:dyDescent="0.4">
      <c r="A22" s="110">
        <v>17</v>
      </c>
      <c r="B22" t="str">
        <f>VLOOKUP(C22,'Project Status'!C:J,8,FALSE)</f>
        <v>Construction</v>
      </c>
      <c r="C22" s="62">
        <v>20644</v>
      </c>
      <c r="D22" s="27" t="str">
        <f>VLOOKUP(C22,'Project Status'!C:G,5,FALSE)</f>
        <v>Peabody</v>
      </c>
      <c r="E22" t="str">
        <f>VLOOKUP(C22,'Project Status'!C:I,7,FALSE)</f>
        <v>Peabody Administration - Envelope Repairs</v>
      </c>
      <c r="F22" s="108">
        <f>VLOOKUP(C22,'Project Status'!C:L,10,FALSE)</f>
        <v>630554</v>
      </c>
      <c r="G22" s="109">
        <f>VLOOKUP(C22,'Project Status'!C:T,17,FALSE)</f>
        <v>630554</v>
      </c>
      <c r="H22" s="132">
        <f>VLOOKUP(C22,'Project Status'!C:T,18,FALSE)</f>
        <v>0</v>
      </c>
    </row>
    <row r="23" spans="1:8" x14ac:dyDescent="0.4">
      <c r="A23" s="110">
        <v>18</v>
      </c>
      <c r="B23" t="str">
        <f>VLOOKUP(C23,'Project Status'!C:J,8,FALSE)</f>
        <v>Award</v>
      </c>
      <c r="C23" s="62">
        <v>20645</v>
      </c>
      <c r="D23" s="27" t="str">
        <f>VLOOKUP(C23,'Project Status'!C:G,5,FALSE)</f>
        <v>Arts &amp; Science</v>
      </c>
      <c r="E23" t="str">
        <f>VLOOKUP(C23,'Project Status'!C:I,7,FALSE)</f>
        <v>Benson Old Central - Replace Soffit and Doors</v>
      </c>
      <c r="F23" s="108">
        <f>VLOOKUP(C23,'Project Status'!C:L,10,FALSE)</f>
        <v>125875</v>
      </c>
      <c r="G23" s="109">
        <f>VLOOKUP(C23,'Project Status'!C:T,17,FALSE)</f>
        <v>125875</v>
      </c>
      <c r="H23" s="132">
        <f>VLOOKUP(C23,'Project Status'!C:T,18,FALSE)</f>
        <v>0</v>
      </c>
    </row>
    <row r="24" spans="1:8" x14ac:dyDescent="0.4">
      <c r="A24" s="110">
        <v>19</v>
      </c>
      <c r="B24" t="str">
        <f>VLOOKUP(C24,'Project Status'!C:J,8,FALSE)</f>
        <v>Design</v>
      </c>
      <c r="C24" s="62">
        <v>20667</v>
      </c>
      <c r="D24" s="27" t="str">
        <f>VLOOKUP(C24,'Project Status'!C:G,5,FALSE)</f>
        <v>Engineering</v>
      </c>
      <c r="E24" t="str">
        <f>VLOOKUP(C24,'Project Status'!C:I,7,FALSE)</f>
        <v>1025 16th Avenue - Mechanical and Electrical Upgrades</v>
      </c>
      <c r="F24" s="108">
        <f>VLOOKUP(C24,'Project Status'!C:L,10,FALSE)</f>
        <v>146500</v>
      </c>
      <c r="G24" s="109">
        <f>VLOOKUP(C24,'Project Status'!C:T,17,FALSE)</f>
        <v>146500</v>
      </c>
      <c r="H24" s="132" t="str">
        <f>VLOOKUP(C24,'Project Status'!C:T,18,FALSE)</f>
        <v>TBD</v>
      </c>
    </row>
    <row r="25" spans="1:8" x14ac:dyDescent="0.4">
      <c r="A25" s="110">
        <v>20</v>
      </c>
      <c r="B25" t="str">
        <f>VLOOKUP(C25,'Project Status'!C:J,8,FALSE)</f>
        <v>Design</v>
      </c>
      <c r="C25" s="62">
        <v>20668</v>
      </c>
      <c r="D25" s="27" t="str">
        <f>VLOOKUP(C25,'Project Status'!C:G,5,FALSE)</f>
        <v>Engineering</v>
      </c>
      <c r="E25" t="str">
        <f>VLOOKUP(C25,'Project Status'!C:I,7,FALSE)</f>
        <v>Keck FEL - Mechanical Upgrades</v>
      </c>
      <c r="F25" s="108">
        <f>VLOOKUP(C25,'Project Status'!C:L,10,FALSE)</f>
        <v>206500</v>
      </c>
      <c r="G25" s="109">
        <f>VLOOKUP(C25,'Project Status'!C:T,17,FALSE)</f>
        <v>206500</v>
      </c>
      <c r="H25" s="132" t="str">
        <f>VLOOKUP(C25,'Project Status'!C:T,18,FALSE)</f>
        <v>TBD</v>
      </c>
    </row>
    <row r="26" spans="1:8" x14ac:dyDescent="0.4">
      <c r="A26" s="110">
        <v>21</v>
      </c>
      <c r="B26" t="str">
        <f>VLOOKUP(C26,'Project Status'!C:J,8,FALSE)</f>
        <v>Design</v>
      </c>
      <c r="C26" s="62">
        <v>20698</v>
      </c>
      <c r="D26" s="27" t="str">
        <f>VLOOKUP(C26,'Project Status'!C:G,5,FALSE)</f>
        <v>Arts &amp; Science</v>
      </c>
      <c r="E26" t="str">
        <f>VLOOKUP(C26,'Project Status'!C:I,7,FALSE)</f>
        <v>Wilson Hall - Fire Alarm Replacement</v>
      </c>
      <c r="F26" s="108">
        <f>VLOOKUP(C26,'Project Status'!C:L,10,FALSE)</f>
        <v>29250</v>
      </c>
      <c r="G26" s="109">
        <f>VLOOKUP(C26,'Project Status'!C:T,17,FALSE)</f>
        <v>29250</v>
      </c>
      <c r="H26" s="132" t="str">
        <f>VLOOKUP(C26,'Project Status'!C:T,18,FALSE)</f>
        <v>TBD</v>
      </c>
    </row>
    <row r="27" spans="1:8" x14ac:dyDescent="0.4">
      <c r="A27" s="110">
        <v>22</v>
      </c>
      <c r="B27" t="str">
        <f>VLOOKUP(C27,'Project Status'!C:J,8,FALSE)</f>
        <v>Construction</v>
      </c>
      <c r="C27" s="62">
        <v>20700</v>
      </c>
      <c r="D27" s="27" t="str">
        <f>VLOOKUP(C27,'Project Status'!C:G,5,FALSE)</f>
        <v>Arts &amp; Science</v>
      </c>
      <c r="E27" t="str">
        <f>VLOOKUP(C27,'Project Status'!C:I,7,FALSE)</f>
        <v>SC-7 Chemistry - SG-1 Removal and Connection to Central Plant Steam</v>
      </c>
      <c r="F27" s="108">
        <f>VLOOKUP(C27,'Project Status'!C:L,10,FALSE)</f>
        <v>80000</v>
      </c>
      <c r="G27" s="109">
        <f>VLOOKUP(C27,'Project Status'!C:T,17,FALSE)</f>
        <v>79623</v>
      </c>
      <c r="H27" s="132">
        <f>VLOOKUP(C27,'Project Status'!C:T,18,FALSE)</f>
        <v>0</v>
      </c>
    </row>
    <row r="28" spans="1:8" x14ac:dyDescent="0.4">
      <c r="A28" s="110">
        <v>23</v>
      </c>
      <c r="B28" t="str">
        <f>VLOOKUP(C28,'Project Status'!C:J,8,FALSE)</f>
        <v>Award</v>
      </c>
      <c r="C28" s="62">
        <v>20701</v>
      </c>
      <c r="D28" s="27" t="str">
        <f>VLOOKUP(C28,'Project Status'!C:G,5,FALSE)</f>
        <v>Arts &amp; Science</v>
      </c>
      <c r="E28" t="str">
        <f>VLOOKUP(C28,'Project Status'!C:I,7,FALSE)</f>
        <v>SC-5 - Chemical Discharge Replacement</v>
      </c>
      <c r="F28" s="108">
        <f>VLOOKUP(C28,'Project Status'!C:L,10,FALSE)</f>
        <v>500000</v>
      </c>
      <c r="G28" s="109">
        <f>VLOOKUP(C28,'Project Status'!C:T,17,FALSE)</f>
        <v>499093</v>
      </c>
      <c r="H28" s="132">
        <f>VLOOKUP(C28,'Project Status'!C:T,18,FALSE)</f>
        <v>0</v>
      </c>
    </row>
    <row r="29" spans="1:8" x14ac:dyDescent="0.4">
      <c r="A29" s="110">
        <v>24</v>
      </c>
      <c r="B29" t="str">
        <f>VLOOKUP(C29,'Project Status'!C:J,8,FALSE)</f>
        <v>Construction</v>
      </c>
      <c r="C29" s="62">
        <v>20702</v>
      </c>
      <c r="D29" s="27" t="str">
        <f>VLOOKUP(C29,'Project Status'!C:G,5,FALSE)</f>
        <v>Peabody</v>
      </c>
      <c r="E29" t="str">
        <f>VLOOKUP(C29,'Project Status'!C:I,7,FALSE)</f>
        <v>Wyatt Center - Elevator #2 Modernization</v>
      </c>
      <c r="F29" s="108">
        <f>VLOOKUP(C29,'Project Status'!C:L,10,FALSE)</f>
        <v>225791</v>
      </c>
      <c r="G29" s="109">
        <f>VLOOKUP(C29,'Project Status'!C:T,17,FALSE)</f>
        <v>239341</v>
      </c>
      <c r="H29" s="132">
        <f>VLOOKUP(C29,'Project Status'!C:T,18,FALSE)</f>
        <v>0</v>
      </c>
    </row>
    <row r="30" spans="1:8" x14ac:dyDescent="0.4">
      <c r="A30" s="110">
        <v>25</v>
      </c>
      <c r="B30" t="str">
        <f>VLOOKUP(C30,'Project Status'!C:J,8,FALSE)</f>
        <v>Construction</v>
      </c>
      <c r="C30" s="62">
        <v>20718</v>
      </c>
      <c r="D30" s="27" t="str">
        <f>VLOOKUP(C30,'Project Status'!C:G,5,FALSE)</f>
        <v>Arts &amp; Science</v>
      </c>
      <c r="E30" t="str">
        <f>VLOOKUP(C30,'Project Status'!C:I,7,FALSE)</f>
        <v>Buttrick Hall - 3rd Floor Inequality Renovations</v>
      </c>
      <c r="F30" s="108">
        <f>VLOOKUP(C30,'Project Status'!C:L,10,FALSE)</f>
        <v>715000</v>
      </c>
      <c r="G30" s="109">
        <f>VLOOKUP(C30,'Project Status'!C:T,17,FALSE)</f>
        <v>715000</v>
      </c>
      <c r="H30" s="132">
        <f>VLOOKUP(C30,'Project Status'!C:T,18,FALSE)</f>
        <v>0</v>
      </c>
    </row>
    <row r="31" spans="1:8" x14ac:dyDescent="0.4">
      <c r="A31" s="110">
        <v>26</v>
      </c>
      <c r="B31" t="str">
        <f>VLOOKUP(C31,'Project Status'!C:J,8,FALSE)</f>
        <v>Planning</v>
      </c>
      <c r="C31" s="62">
        <v>20723</v>
      </c>
      <c r="D31" s="27" t="str">
        <f>VLOOKUP(C31,'Project Status'!C:G,5,FALSE)</f>
        <v>SOM Basic Sciences</v>
      </c>
      <c r="E31" t="str">
        <f>VLOOKUP(C31,'Project Status'!C:I,7,FALSE)</f>
        <v>MRB III 4,5,8,9th Floor - Replace Controls (Phase 3)</v>
      </c>
      <c r="F31" s="108">
        <f>VLOOKUP(C31,'Project Status'!C:L,10,FALSE)</f>
        <v>1500000</v>
      </c>
      <c r="G31" s="109">
        <f>VLOOKUP(C31,'Project Status'!C:T,17,FALSE)</f>
        <v>160500</v>
      </c>
      <c r="H31" s="132">
        <f>VLOOKUP(C31,'Project Status'!C:T,18,FALSE)</f>
        <v>1339500</v>
      </c>
    </row>
    <row r="32" spans="1:8" x14ac:dyDescent="0.4">
      <c r="A32" s="110">
        <v>27</v>
      </c>
      <c r="B32" t="str">
        <f>VLOOKUP(C32,'Project Status'!C:J,8,FALSE)</f>
        <v>Design</v>
      </c>
      <c r="C32" s="62">
        <v>20724</v>
      </c>
      <c r="D32" s="27" t="str">
        <f>VLOOKUP(C32,'Project Status'!C:G,5,FALSE)</f>
        <v>Blair</v>
      </c>
      <c r="E32" t="str">
        <f>VLOOKUP(C32,'Project Status'!C:I,7,FALSE)</f>
        <v>Blair School of Music - Steam Line</v>
      </c>
      <c r="F32" s="108">
        <f>VLOOKUP(C32,'Project Status'!C:L,10,FALSE)</f>
        <v>950000</v>
      </c>
      <c r="G32" s="109">
        <f>VLOOKUP(C32,'Project Status'!C:T,17,FALSE)</f>
        <v>23400</v>
      </c>
      <c r="H32" s="132">
        <f>VLOOKUP(C32,'Project Status'!C:T,18,FALSE)</f>
        <v>926600</v>
      </c>
    </row>
    <row r="33" spans="1:8" x14ac:dyDescent="0.4">
      <c r="A33" s="110">
        <v>28</v>
      </c>
      <c r="B33" t="str">
        <f>VLOOKUP(C33,'Project Status'!C:J,8,FALSE)</f>
        <v>Construction</v>
      </c>
      <c r="C33" s="62">
        <v>20735</v>
      </c>
      <c r="D33" s="27" t="str">
        <f>VLOOKUP(C33,'Project Status'!C:G,5,FALSE)</f>
        <v>Owen</v>
      </c>
      <c r="E33" t="str">
        <f>VLOOKUP(C33,'Project Status'!C:I,7,FALSE)</f>
        <v>Owen - Roof Replacement (Third Level)</v>
      </c>
      <c r="F33" s="108">
        <f>VLOOKUP(C33,'Project Status'!C:L,10,FALSE)</f>
        <v>300000</v>
      </c>
      <c r="G33" s="109">
        <f>VLOOKUP(C33,'Project Status'!C:T,17,FALSE)</f>
        <v>300000</v>
      </c>
      <c r="H33" s="132">
        <f>VLOOKUP(C33,'Project Status'!C:T,18,FALSE)</f>
        <v>0</v>
      </c>
    </row>
    <row r="34" spans="1:8" x14ac:dyDescent="0.4">
      <c r="A34" s="110">
        <v>29</v>
      </c>
      <c r="B34" t="str">
        <f>VLOOKUP(C34,'Project Status'!C:J,8,FALSE)</f>
        <v>Design</v>
      </c>
      <c r="C34" s="62">
        <v>20767</v>
      </c>
      <c r="D34" s="27" t="str">
        <f>VLOOKUP(C34,'Project Status'!C:G,5,FALSE)</f>
        <v>Peabody</v>
      </c>
      <c r="E34" t="str">
        <f>VLOOKUP(C34,'Project Status'!C:I,7,FALSE)</f>
        <v>Six Magnolia Circle - Foundation Repairs</v>
      </c>
      <c r="F34" s="108">
        <f>VLOOKUP(C34,'Project Status'!C:L,10,FALSE)</f>
        <v>0</v>
      </c>
      <c r="G34" s="109">
        <f>VLOOKUP(C34,'Project Status'!C:T,17,FALSE)</f>
        <v>0</v>
      </c>
      <c r="H34" s="132" t="str">
        <f>VLOOKUP(C34,'Project Status'!C:T,18,FALSE)</f>
        <v>TBD</v>
      </c>
    </row>
    <row r="35" spans="1:8" x14ac:dyDescent="0.4">
      <c r="A35" s="110">
        <v>30</v>
      </c>
      <c r="B35" t="str">
        <f>VLOOKUP(C35,'Project Status'!C:J,8,FALSE)</f>
        <v>Construction</v>
      </c>
      <c r="C35" s="62">
        <v>20771</v>
      </c>
      <c r="D35" s="27" t="str">
        <f>VLOOKUP(C35,'Project Status'!C:G,5,FALSE)</f>
        <v>Arts &amp; Science</v>
      </c>
      <c r="E35" t="str">
        <f>VLOOKUP(C35,'Project Status'!C:I,7,FALSE)</f>
        <v>SC4 - Interstitial Space HVAC Modifications</v>
      </c>
      <c r="F35" s="108">
        <f>VLOOKUP(C35,'Project Status'!C:L,10,FALSE)</f>
        <v>25000</v>
      </c>
      <c r="G35" s="109">
        <f>VLOOKUP(C35,'Project Status'!C:T,17,FALSE)</f>
        <v>24997</v>
      </c>
      <c r="H35" s="132">
        <f>VLOOKUP(C35,'Project Status'!C:T,18,FALSE)</f>
        <v>0</v>
      </c>
    </row>
    <row r="36" spans="1:8" x14ac:dyDescent="0.4">
      <c r="A36" s="110">
        <v>31</v>
      </c>
      <c r="B36" t="str">
        <f>VLOOKUP(C36,'Project Status'!C:J,8,FALSE)</f>
        <v>Not Started</v>
      </c>
      <c r="C36" s="62">
        <v>20772</v>
      </c>
      <c r="D36" s="27" t="str">
        <f>VLOOKUP(C36,'Project Status'!C:G,5,FALSE)</f>
        <v>Owen</v>
      </c>
      <c r="E36" t="str">
        <f>VLOOKUP(C36,'Project Status'!C:I,7,FALSE)</f>
        <v>Owen - Roof Replacement (Slate Portion)</v>
      </c>
      <c r="F36" s="108">
        <f>VLOOKUP(C36,'Project Status'!C:L,10,FALSE)</f>
        <v>0</v>
      </c>
      <c r="G36" s="109">
        <f>VLOOKUP(C36,'Project Status'!C:T,17,FALSE)</f>
        <v>0</v>
      </c>
      <c r="H36" s="132" t="str">
        <f>VLOOKUP(C36,'Project Status'!C:T,18,FALSE)</f>
        <v>TBD</v>
      </c>
    </row>
    <row r="37" spans="1:8" x14ac:dyDescent="0.4">
      <c r="A37" s="110">
        <v>32</v>
      </c>
      <c r="B37" t="str">
        <f>VLOOKUP(C37,'Project Status'!C:J,8,FALSE)</f>
        <v>Award</v>
      </c>
      <c r="C37" s="62">
        <v>20792</v>
      </c>
      <c r="D37" s="27" t="str">
        <f>VLOOKUP(C37,'Project Status'!C:G,5,FALSE)</f>
        <v>Law</v>
      </c>
      <c r="E37" t="str">
        <f>VLOOKUP(C37,'Project Status'!C:I,7,FALSE)</f>
        <v>Law School - Sections 1, 2, &amp; 3  Roof Replacement</v>
      </c>
      <c r="F37" s="108">
        <f>VLOOKUP(C37,'Project Status'!C:L,10,FALSE)</f>
        <v>400000</v>
      </c>
      <c r="G37" s="109">
        <f>VLOOKUP(C37,'Project Status'!C:T,17,FALSE)</f>
        <v>483440</v>
      </c>
      <c r="H37" s="132">
        <f>VLOOKUP(C37,'Project Status'!C:T,18,FALSE)</f>
        <v>0</v>
      </c>
    </row>
    <row r="38" spans="1:8" s="20" customFormat="1" x14ac:dyDescent="0.4">
      <c r="F38" s="83">
        <f>SUM(F6:F37)</f>
        <v>28172492.759999998</v>
      </c>
      <c r="G38" s="84">
        <f>SUM(G6:G37)</f>
        <v>9420620.2599999998</v>
      </c>
      <c r="H38" s="133">
        <f>SUM(H6:H37)</f>
        <v>7295000</v>
      </c>
    </row>
    <row r="39" spans="1:8" s="20" customFormat="1" x14ac:dyDescent="0.4">
      <c r="F39" s="77"/>
      <c r="G39" s="77"/>
      <c r="H39" s="77"/>
    </row>
  </sheetData>
  <sortState xmlns:xlrd2="http://schemas.microsoft.com/office/spreadsheetml/2017/richdata2" ref="B6:G27">
    <sortCondition ref="B6:B27"/>
    <sortCondition ref="D6:D27"/>
  </sortState>
  <pageMargins left="0.7" right="0.7" top="0.75" bottom="0.75" header="0.3" footer="0.3"/>
  <pageSetup paperSize="5" scale="95" fitToWidth="0" orientation="landscape" horizontalDpi="4294967295" verticalDpi="4294967295" r:id="rId1"/>
  <headerFooter>
    <oddFooter>&amp;L(1) - estimated total budget represents the best rough order of magnitude for total project costs.
(2) - estimated FYxx FRP indicates expected funding to be transferred back to the school from FRP program funds collected during FYxx.</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12.38281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Status'!C:J,8,FALSE)</f>
        <v>Construction</v>
      </c>
      <c r="G4" s="11" t="str">
        <f>VLOOKUP(A4,'Project Status'!C:K,9,FALSE)</f>
        <v>Ben Bedock</v>
      </c>
      <c r="H4" s="42">
        <f>VLOOKUP(A4,'Project Status'!C:M,11,FALSE)</f>
        <v>1232681</v>
      </c>
    </row>
    <row r="8" spans="1:8" x14ac:dyDescent="0.4">
      <c r="E8" s="43" t="s">
        <v>126</v>
      </c>
    </row>
    <row r="9" spans="1:8" x14ac:dyDescent="0.4">
      <c r="E9" t="s">
        <v>248</v>
      </c>
      <c r="F9" s="35" t="s">
        <v>141</v>
      </c>
      <c r="H9" s="44">
        <v>1232681</v>
      </c>
    </row>
    <row r="13" spans="1:8" x14ac:dyDescent="0.4">
      <c r="F13" s="10"/>
      <c r="G13" s="10"/>
      <c r="H13" s="47"/>
    </row>
    <row r="18" spans="5:8" x14ac:dyDescent="0.4">
      <c r="E18" s="167" t="s">
        <v>293</v>
      </c>
      <c r="F18" s="168"/>
      <c r="G18" s="167"/>
      <c r="H18" s="169">
        <f>SUM(H9:H17)</f>
        <v>1232681</v>
      </c>
    </row>
    <row r="20" spans="5:8" x14ac:dyDescent="0.4">
      <c r="E20" s="170" t="s">
        <v>138</v>
      </c>
      <c r="F20" s="170"/>
      <c r="G20" s="170"/>
      <c r="H20" s="171">
        <f>H4-H18</f>
        <v>0</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31" bestFit="1" customWidth="1"/>
    <col min="6" max="6" width="12.3828125"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Status'!C:J,8,FALSE)</f>
        <v>Construction</v>
      </c>
      <c r="G4" s="11" t="str">
        <f>VLOOKUP(A4,'Project Status'!C:K,9,FALSE)</f>
        <v>Sean Rewers</v>
      </c>
      <c r="H4" s="42">
        <f>VLOOKUP(A4,'Project Status'!C:M,11,FALSE)</f>
        <v>218202</v>
      </c>
    </row>
    <row r="8" spans="1:8" x14ac:dyDescent="0.4">
      <c r="E8" s="43" t="s">
        <v>126</v>
      </c>
    </row>
    <row r="9" spans="1:8" x14ac:dyDescent="0.4">
      <c r="E9" s="22" t="s">
        <v>221</v>
      </c>
      <c r="F9" s="35" t="s">
        <v>141</v>
      </c>
      <c r="H9" s="44">
        <v>218202</v>
      </c>
    </row>
    <row r="18" spans="5:8" x14ac:dyDescent="0.4">
      <c r="E18" s="167" t="s">
        <v>293</v>
      </c>
      <c r="F18" s="168"/>
      <c r="G18" s="167"/>
      <c r="H18" s="169">
        <f>SUM(H9:H17)</f>
        <v>218202</v>
      </c>
    </row>
    <row r="20" spans="5:8" x14ac:dyDescent="0.4">
      <c r="E20" s="170" t="s">
        <v>138</v>
      </c>
      <c r="F20" s="170"/>
      <c r="G20" s="170"/>
      <c r="H20" s="171">
        <f>H4-H18</f>
        <v>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49.3046875" bestFit="1" customWidth="1"/>
    <col min="6" max="6" width="7" bestFit="1" customWidth="1"/>
    <col min="7" max="7" width="11"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Air Handling Unit Replacement</v>
      </c>
      <c r="F4" s="11" t="str">
        <f>VLOOKUP(A4,'Project Status'!C:J,8,FALSE)</f>
        <v>Design</v>
      </c>
      <c r="G4" s="11" t="str">
        <f>VLOOKUP(A4,'Project Status'!C:K,9,FALSE)</f>
        <v>Hans Mooy</v>
      </c>
      <c r="H4" s="42">
        <f>VLOOKUP(A4,'Project Status'!C:M,11,FALSE)</f>
        <v>223000</v>
      </c>
    </row>
    <row r="8" spans="1:8" x14ac:dyDescent="0.4">
      <c r="E8" s="43" t="s">
        <v>126</v>
      </c>
    </row>
    <row r="9" spans="1:8" x14ac:dyDescent="0.4">
      <c r="E9" s="22" t="s">
        <v>169</v>
      </c>
      <c r="F9" s="35" t="s">
        <v>141</v>
      </c>
      <c r="H9" s="44">
        <v>53750</v>
      </c>
    </row>
    <row r="10" spans="1:8" x14ac:dyDescent="0.4">
      <c r="E10" s="22" t="s">
        <v>240</v>
      </c>
      <c r="F10" t="s">
        <v>220</v>
      </c>
      <c r="H10" s="45">
        <v>169250</v>
      </c>
    </row>
    <row r="18" spans="5:8" x14ac:dyDescent="0.4">
      <c r="E18" s="167" t="s">
        <v>293</v>
      </c>
      <c r="F18" s="168"/>
      <c r="G18" s="167"/>
      <c r="H18" s="169">
        <f>SUM(H9:H17)</f>
        <v>223000</v>
      </c>
    </row>
    <row r="20" spans="5:8" x14ac:dyDescent="0.4">
      <c r="E20" s="170" t="s">
        <v>138</v>
      </c>
      <c r="F20" s="170"/>
      <c r="G20" s="170"/>
      <c r="H20" s="171">
        <f>H4-H18</f>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4"/>
  </sheetPr>
  <dimension ref="A3:H20"/>
  <sheetViews>
    <sheetView zoomScale="90" zoomScaleNormal="90" workbookViewId="0">
      <selection activeCell="H20" sqref="H20"/>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12.38281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Status'!C:J,8,FALSE)</f>
        <v>Construction</v>
      </c>
      <c r="G4" s="11" t="str">
        <f>VLOOKUP(A4,'Project Status'!C:K,9,FALSE)</f>
        <v>Ben Bedock</v>
      </c>
      <c r="H4" s="101">
        <f>VLOOKUP(A4,'Project Status'!C:M,11,FALSE)</f>
        <v>630554</v>
      </c>
    </row>
    <row r="8" spans="1:8" x14ac:dyDescent="0.4">
      <c r="E8" s="43" t="s">
        <v>126</v>
      </c>
    </row>
    <row r="9" spans="1:8" x14ac:dyDescent="0.4">
      <c r="E9" s="22" t="s">
        <v>233</v>
      </c>
      <c r="F9" s="35" t="s">
        <v>141</v>
      </c>
      <c r="H9" s="112">
        <v>2050</v>
      </c>
    </row>
    <row r="10" spans="1:8" x14ac:dyDescent="0.4">
      <c r="E10" s="22" t="s">
        <v>272</v>
      </c>
      <c r="F10" t="s">
        <v>220</v>
      </c>
      <c r="H10" s="44">
        <v>628504</v>
      </c>
    </row>
    <row r="18" spans="5:8" x14ac:dyDescent="0.4">
      <c r="E18" s="167" t="s">
        <v>293</v>
      </c>
      <c r="F18" s="168"/>
      <c r="G18" s="167"/>
      <c r="H18" s="169">
        <f>SUM(H9:H17)</f>
        <v>630554</v>
      </c>
    </row>
    <row r="20" spans="5:8" x14ac:dyDescent="0.4">
      <c r="E20" s="170" t="s">
        <v>138</v>
      </c>
      <c r="F20" s="170"/>
      <c r="G20" s="170"/>
      <c r="H20" s="171">
        <f>H4-H18</f>
        <v>0</v>
      </c>
    </row>
  </sheetData>
  <pageMargins left="0.7" right="0.7" top="0.75" bottom="0.75" header="0.3" footer="0.3"/>
  <pageSetup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42.3046875" bestFit="1" customWidth="1"/>
    <col min="6" max="6" width="6.691406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Status'!C:J,8,FALSE)</f>
        <v>Award</v>
      </c>
      <c r="G4" s="11" t="str">
        <f>VLOOKUP(A4,'Project Status'!C:K,9,FALSE)</f>
        <v>Ben Bedock</v>
      </c>
      <c r="H4" s="42">
        <f>VLOOKUP(A4,'Project Status'!C:M,11,FALSE)</f>
        <v>125875</v>
      </c>
    </row>
    <row r="8" spans="1:8" x14ac:dyDescent="0.4">
      <c r="E8" s="43" t="s">
        <v>126</v>
      </c>
    </row>
    <row r="9" spans="1:8" x14ac:dyDescent="0.4">
      <c r="E9" t="s">
        <v>317</v>
      </c>
      <c r="F9" s="35" t="s">
        <v>141</v>
      </c>
      <c r="H9" s="44">
        <v>125875</v>
      </c>
    </row>
    <row r="13" spans="1:8" x14ac:dyDescent="0.4">
      <c r="F13" s="10"/>
      <c r="G13" s="10"/>
      <c r="H13" s="47"/>
    </row>
    <row r="18" spans="5:8" x14ac:dyDescent="0.4">
      <c r="E18" s="167" t="s">
        <v>293</v>
      </c>
      <c r="F18" s="168"/>
      <c r="G18" s="167"/>
      <c r="H18" s="169">
        <f>SUM(H9:H17)</f>
        <v>125875</v>
      </c>
    </row>
    <row r="20" spans="5:8" x14ac:dyDescent="0.4">
      <c r="E20" s="170" t="s">
        <v>138</v>
      </c>
      <c r="F20" s="170"/>
      <c r="G20" s="170"/>
      <c r="H20" s="171">
        <f>H4-H18</f>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51.15234375" bestFit="1" customWidth="1"/>
    <col min="6" max="6" width="7"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20667</v>
      </c>
      <c r="B4" s="11">
        <f>VLOOKUP(A4,'Project Status'!C:D,2,FALSE)</f>
        <v>8168</v>
      </c>
      <c r="C4" s="11" t="str">
        <f>VLOOKUP(A4,'Project Status'!C:E,3,FALSE)</f>
        <v>CP_400160</v>
      </c>
      <c r="D4" s="11" t="str">
        <f>VLOOKUP(A4,'Project Status'!C:F,4,FALSE)</f>
        <v>15000 - Engineering: Office of the Dean</v>
      </c>
      <c r="E4" s="11" t="str">
        <f>VLOOKUP(A4,'Project Status'!C:I,7,FALSE)</f>
        <v>1025 16th Avenue - Mechanical and Electrical Upgrades</v>
      </c>
      <c r="F4" s="11" t="str">
        <f>VLOOKUP(A4,'Project Status'!C:J,8,FALSE)</f>
        <v>Design</v>
      </c>
      <c r="G4" s="11" t="str">
        <f>VLOOKUP(A4,'Project Status'!C:K,9,FALSE)</f>
        <v>Sean Rewers</v>
      </c>
      <c r="H4" s="42">
        <f>VLOOKUP(A4,'Project Status'!C:M,11,FALSE)</f>
        <v>146500</v>
      </c>
    </row>
    <row r="8" spans="1:8" x14ac:dyDescent="0.4">
      <c r="E8" s="43" t="s">
        <v>126</v>
      </c>
    </row>
    <row r="9" spans="1:8" x14ac:dyDescent="0.4">
      <c r="E9" s="22" t="s">
        <v>179</v>
      </c>
      <c r="F9" s="35" t="s">
        <v>141</v>
      </c>
      <c r="H9" s="44">
        <v>135000</v>
      </c>
    </row>
    <row r="10" spans="1:8" x14ac:dyDescent="0.4">
      <c r="E10" s="22" t="s">
        <v>240</v>
      </c>
      <c r="F10" t="s">
        <v>149</v>
      </c>
      <c r="H10" s="45">
        <v>11500</v>
      </c>
    </row>
    <row r="18" spans="5:8" x14ac:dyDescent="0.4">
      <c r="E18" s="167" t="s">
        <v>293</v>
      </c>
      <c r="F18" s="168"/>
      <c r="G18" s="167"/>
      <c r="H18" s="169">
        <f>SUM(H9:H17)</f>
        <v>146500</v>
      </c>
    </row>
    <row r="20" spans="5:8" x14ac:dyDescent="0.4">
      <c r="E20" s="170" t="s">
        <v>138</v>
      </c>
      <c r="F20" s="170"/>
      <c r="G20" s="170"/>
      <c r="H20" s="171">
        <f>H4-H18</f>
        <v>0</v>
      </c>
    </row>
  </sheetData>
  <pageMargins left="0.7" right="0.7" top="0.75" bottom="0.75" header="0.3" footer="0.3"/>
  <pageSetup paperSize="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29.53515625" bestFit="1" customWidth="1"/>
    <col min="6" max="6" width="7"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Status'!C:J,8,FALSE)</f>
        <v>Design</v>
      </c>
      <c r="G4" s="11" t="str">
        <f>VLOOKUP(A4,'Project Status'!C:K,9,FALSE)</f>
        <v>Sean Rewers</v>
      </c>
      <c r="H4" s="101">
        <f>VLOOKUP(A4,'Project Status'!C:M,11,FALSE)</f>
        <v>206500</v>
      </c>
    </row>
    <row r="8" spans="1:8" x14ac:dyDescent="0.4">
      <c r="E8" s="43" t="s">
        <v>126</v>
      </c>
    </row>
    <row r="9" spans="1:8" x14ac:dyDescent="0.4">
      <c r="E9" s="22" t="s">
        <v>221</v>
      </c>
      <c r="F9" s="35" t="s">
        <v>141</v>
      </c>
      <c r="H9" s="44">
        <v>195000</v>
      </c>
    </row>
    <row r="10" spans="1:8" x14ac:dyDescent="0.4">
      <c r="E10" s="22" t="s">
        <v>240</v>
      </c>
      <c r="F10" t="s">
        <v>149</v>
      </c>
      <c r="H10" s="44">
        <v>11500</v>
      </c>
    </row>
    <row r="18" spans="5:8" x14ac:dyDescent="0.4">
      <c r="E18" s="167" t="s">
        <v>293</v>
      </c>
      <c r="F18" s="168"/>
      <c r="G18" s="167"/>
      <c r="H18" s="169">
        <f>SUM(H9:H17)</f>
        <v>206500</v>
      </c>
    </row>
    <row r="20" spans="5:8" x14ac:dyDescent="0.4">
      <c r="E20" s="170" t="s">
        <v>138</v>
      </c>
      <c r="F20" s="170"/>
      <c r="G20" s="170"/>
      <c r="H20" s="171">
        <f>H4-H18</f>
        <v>0</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4.69140625" bestFit="1" customWidth="1"/>
    <col min="6" max="6" width="7"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Status'!C:J,8,FALSE)</f>
        <v>Design</v>
      </c>
      <c r="G4" s="11" t="str">
        <f>VLOOKUP(A4,'Project Status'!C:K,9,FALSE)</f>
        <v>Sean Rewers</v>
      </c>
      <c r="H4" s="101">
        <f>VLOOKUP(A4,'Project Status'!C:M,11,FALSE)</f>
        <v>29250</v>
      </c>
    </row>
    <row r="8" spans="1:8" x14ac:dyDescent="0.4">
      <c r="E8" s="43" t="s">
        <v>126</v>
      </c>
    </row>
    <row r="9" spans="1:8" x14ac:dyDescent="0.4">
      <c r="E9" s="22" t="s">
        <v>221</v>
      </c>
      <c r="F9" s="35" t="s">
        <v>141</v>
      </c>
      <c r="H9" s="44">
        <v>24500</v>
      </c>
    </row>
    <row r="10" spans="1:8" x14ac:dyDescent="0.4">
      <c r="E10" s="22" t="s">
        <v>221</v>
      </c>
      <c r="F10" t="s">
        <v>220</v>
      </c>
      <c r="H10" s="44">
        <v>450</v>
      </c>
    </row>
    <row r="11" spans="1:8" x14ac:dyDescent="0.4">
      <c r="E11" s="22" t="s">
        <v>317</v>
      </c>
      <c r="F11" t="s">
        <v>149</v>
      </c>
      <c r="H11" s="44">
        <v>4300</v>
      </c>
    </row>
    <row r="18" spans="5:8" x14ac:dyDescent="0.4">
      <c r="E18" s="167" t="s">
        <v>293</v>
      </c>
      <c r="F18" s="168"/>
      <c r="G18" s="167"/>
      <c r="H18" s="169">
        <f>SUM(H9:H17)</f>
        <v>29250</v>
      </c>
    </row>
    <row r="20" spans="5:8" x14ac:dyDescent="0.4">
      <c r="E20" s="170" t="s">
        <v>138</v>
      </c>
      <c r="F20" s="170"/>
      <c r="G20" s="170"/>
      <c r="H20" s="171">
        <f>H4-H18</f>
        <v>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64.3046875" bestFit="1" customWidth="1"/>
    <col min="6" max="6" width="12.3828125"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Status'!C:J,8,FALSE)</f>
        <v>Construction</v>
      </c>
      <c r="G4" s="11" t="str">
        <f>VLOOKUP(A4,'Project Status'!C:K,9,FALSE)</f>
        <v>Sean Rewers</v>
      </c>
      <c r="H4" s="101">
        <f>VLOOKUP(A4,'Project Status'!C:M,11,FALSE)</f>
        <v>79623</v>
      </c>
    </row>
    <row r="8" spans="1:8" x14ac:dyDescent="0.4">
      <c r="E8" s="43" t="s">
        <v>126</v>
      </c>
    </row>
    <row r="9" spans="1:8" x14ac:dyDescent="0.4">
      <c r="E9" s="22" t="s">
        <v>233</v>
      </c>
      <c r="F9" s="35" t="s">
        <v>141</v>
      </c>
      <c r="H9" s="112">
        <v>2500</v>
      </c>
    </row>
    <row r="10" spans="1:8" x14ac:dyDescent="0.4">
      <c r="E10" s="22" t="s">
        <v>272</v>
      </c>
      <c r="F10" t="s">
        <v>141</v>
      </c>
      <c r="H10" s="44">
        <v>77123</v>
      </c>
    </row>
    <row r="18" spans="5:8" x14ac:dyDescent="0.4">
      <c r="E18" s="167" t="s">
        <v>293</v>
      </c>
      <c r="F18" s="168"/>
      <c r="G18" s="167"/>
      <c r="H18" s="169">
        <f>SUM(H9:H17)</f>
        <v>79623</v>
      </c>
    </row>
    <row r="20" spans="5:8" x14ac:dyDescent="0.4">
      <c r="E20" s="170" t="s">
        <v>138</v>
      </c>
      <c r="F20" s="170"/>
      <c r="G20" s="170"/>
      <c r="H20" s="171">
        <f>H4-H18</f>
        <v>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6.53515625" bestFit="1" customWidth="1"/>
    <col min="6" max="6" width="6.69140625"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Status'!C:J,8,FALSE)</f>
        <v>Award</v>
      </c>
      <c r="G4" s="11" t="str">
        <f>VLOOKUP(A4,'Project Status'!C:K,9,FALSE)</f>
        <v>Sean Rewers</v>
      </c>
      <c r="H4" s="101">
        <f>VLOOKUP(A4,'Project Status'!C:M,11,FALSE)</f>
        <v>499093</v>
      </c>
    </row>
    <row r="8" spans="1:8" x14ac:dyDescent="0.4">
      <c r="E8" s="43" t="s">
        <v>126</v>
      </c>
    </row>
    <row r="9" spans="1:8" x14ac:dyDescent="0.4">
      <c r="E9" s="22" t="s">
        <v>294</v>
      </c>
      <c r="F9" s="35" t="s">
        <v>141</v>
      </c>
      <c r="H9" s="112">
        <v>499093</v>
      </c>
    </row>
    <row r="10" spans="1:8" x14ac:dyDescent="0.4">
      <c r="E10" s="22"/>
      <c r="H10" s="44"/>
    </row>
    <row r="18" spans="5:8" x14ac:dyDescent="0.4">
      <c r="E18" s="167" t="s">
        <v>293</v>
      </c>
      <c r="F18" s="168"/>
      <c r="G18" s="167"/>
      <c r="H18" s="169">
        <f>SUM(H9:H17)</f>
        <v>499093</v>
      </c>
    </row>
    <row r="20" spans="5:8" x14ac:dyDescent="0.4">
      <c r="E20" s="170" t="s">
        <v>138</v>
      </c>
      <c r="F20" s="170"/>
      <c r="G20" s="170"/>
      <c r="H20" s="171">
        <f>H4-H18</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L25"/>
  <sheetViews>
    <sheetView zoomScaleNormal="100" workbookViewId="0">
      <selection activeCell="Q1" sqref="Q1"/>
    </sheetView>
  </sheetViews>
  <sheetFormatPr defaultRowHeight="14.6" x14ac:dyDescent="0.4"/>
  <cols>
    <col min="1" max="1" width="26.15234375" customWidth="1"/>
    <col min="2" max="2" width="12.53515625" hidden="1" customWidth="1"/>
    <col min="3" max="12" width="13.84375" customWidth="1"/>
  </cols>
  <sheetData>
    <row r="1" spans="1:12" s="8" customFormat="1" x14ac:dyDescent="0.4">
      <c r="A1" s="85" t="s">
        <v>196</v>
      </c>
      <c r="B1"/>
      <c r="D1"/>
      <c r="E1"/>
      <c r="F1"/>
      <c r="G1"/>
      <c r="H1"/>
      <c r="I1"/>
      <c r="J1"/>
      <c r="K1"/>
      <c r="L1"/>
    </row>
    <row r="2" spans="1:12" s="8" customFormat="1" x14ac:dyDescent="0.4">
      <c r="A2" s="20"/>
      <c r="B2" s="35"/>
      <c r="C2"/>
      <c r="D2"/>
      <c r="E2"/>
      <c r="F2"/>
      <c r="G2"/>
      <c r="H2"/>
      <c r="I2"/>
      <c r="J2"/>
      <c r="K2"/>
      <c r="L2"/>
    </row>
    <row r="3" spans="1:12" ht="15" thickBot="1" x14ac:dyDescent="0.45"/>
    <row r="4" spans="1:12" ht="43.75" customHeight="1" x14ac:dyDescent="0.4">
      <c r="A4" s="23" t="s">
        <v>86</v>
      </c>
      <c r="B4" s="23" t="s">
        <v>99</v>
      </c>
      <c r="C4" s="145" t="s">
        <v>269</v>
      </c>
      <c r="D4" s="146" t="s">
        <v>259</v>
      </c>
      <c r="E4" s="147" t="s">
        <v>124</v>
      </c>
      <c r="F4" s="146" t="s">
        <v>260</v>
      </c>
      <c r="G4" s="148" t="s">
        <v>261</v>
      </c>
      <c r="H4" s="157" t="s">
        <v>270</v>
      </c>
      <c r="I4" s="158" t="s">
        <v>266</v>
      </c>
      <c r="J4" s="147" t="s">
        <v>124</v>
      </c>
      <c r="K4" s="158" t="s">
        <v>267</v>
      </c>
      <c r="L4" s="148" t="s">
        <v>268</v>
      </c>
    </row>
    <row r="5" spans="1:12" x14ac:dyDescent="0.4">
      <c r="A5" t="s">
        <v>200</v>
      </c>
      <c r="B5" s="21">
        <f>Contributions!B5</f>
        <v>1075461.7320675128</v>
      </c>
      <c r="C5" s="149">
        <f>Contributions!C5/1000000</f>
        <v>3.6638259999999998</v>
      </c>
      <c r="D5" s="150">
        <f>SUMIF('Project Status'!G:G,'Shared Building Allocation'!A5,'Project Status'!S:S)/1000000</f>
        <v>2.336808</v>
      </c>
      <c r="E5" s="151">
        <f>D22/1000000</f>
        <v>0.55831562499999998</v>
      </c>
      <c r="F5" s="150">
        <f>D5+E5</f>
        <v>2.8951236250000001</v>
      </c>
      <c r="G5" s="152">
        <f>C5-F5</f>
        <v>0.76870237499999972</v>
      </c>
      <c r="H5" s="159">
        <f>Contributions!G5/1000000</f>
        <v>4.2048135899999997</v>
      </c>
      <c r="I5" s="160">
        <f>SUMIF('Project Status'!G:G,'Shared Building Allocation'!A5,'Project Status'!T:T)/1000000</f>
        <v>1.0288999999999999</v>
      </c>
      <c r="J5" s="151">
        <f>I22/1000000</f>
        <v>0.46882499999999994</v>
      </c>
      <c r="K5" s="160">
        <f t="shared" ref="K5:K13" si="0">I5+J5</f>
        <v>1.497725</v>
      </c>
      <c r="L5" s="152">
        <f>H5-K5</f>
        <v>2.7070885899999997</v>
      </c>
    </row>
    <row r="6" spans="1:12" x14ac:dyDescent="0.4">
      <c r="A6" t="s">
        <v>202</v>
      </c>
      <c r="B6" s="21">
        <f>Contributions!B6</f>
        <v>121421.42689276834</v>
      </c>
      <c r="C6" s="149">
        <f>Contributions!C6/1000000</f>
        <v>0.41365200000000002</v>
      </c>
      <c r="D6" s="150">
        <f>SUMIF('Project Status'!G:G,'Shared Building Allocation'!A6,'Project Status'!S:S)/1000000</f>
        <v>0.57428999999999997</v>
      </c>
      <c r="E6" s="151"/>
      <c r="F6" s="150">
        <f t="shared" ref="F6:F13" si="1">D6+E6</f>
        <v>0.57428999999999997</v>
      </c>
      <c r="G6" s="152">
        <f t="shared" ref="G6:G13" si="2">C6-F6</f>
        <v>-0.16063799999999995</v>
      </c>
      <c r="H6" s="159">
        <f>Contributions!G6/1000000</f>
        <v>0.48204136999999997</v>
      </c>
      <c r="I6" s="160">
        <f>SUMIF('Project Status'!G:G,'Shared Building Allocation'!A6,'Project Status'!T:T)/1000000</f>
        <v>0.92659999999999998</v>
      </c>
      <c r="J6" s="151"/>
      <c r="K6" s="160">
        <f t="shared" si="0"/>
        <v>0.92659999999999998</v>
      </c>
      <c r="L6" s="152">
        <f t="shared" ref="L6:L13" si="3">H6-K6</f>
        <v>-0.44455863000000001</v>
      </c>
    </row>
    <row r="7" spans="1:12" x14ac:dyDescent="0.4">
      <c r="A7" t="s">
        <v>203</v>
      </c>
      <c r="B7" s="21">
        <f>Contributions!B7</f>
        <v>57814.730923479161</v>
      </c>
      <c r="C7" s="149">
        <f>Contributions!C7/1000000</f>
        <v>0.19696</v>
      </c>
      <c r="D7" s="150">
        <f>SUMIF('Project Status'!G:G,'Shared Building Allocation'!A7,'Project Status'!S:S)/1000000</f>
        <v>9.6362500000000004E-2</v>
      </c>
      <c r="E7" s="151"/>
      <c r="F7" s="150">
        <f t="shared" si="1"/>
        <v>9.6362500000000004E-2</v>
      </c>
      <c r="G7" s="152">
        <f t="shared" si="2"/>
        <v>0.10059749999999999</v>
      </c>
      <c r="H7" s="159">
        <f>Contributions!G7/1000000</f>
        <v>0.23130411000000001</v>
      </c>
      <c r="I7" s="160">
        <f>SUMIF('Project Status'!G:G,'Shared Building Allocation'!A7,'Project Status'!T:T)/1000000</f>
        <v>4</v>
      </c>
      <c r="J7" s="151"/>
      <c r="K7" s="160">
        <f t="shared" si="0"/>
        <v>4</v>
      </c>
      <c r="L7" s="152">
        <f t="shared" si="3"/>
        <v>-3.76869589</v>
      </c>
    </row>
    <row r="8" spans="1:12" x14ac:dyDescent="0.4">
      <c r="A8" t="s">
        <v>204</v>
      </c>
      <c r="B8" s="21">
        <f>Contributions!B8</f>
        <v>537962.332719445</v>
      </c>
      <c r="C8" s="149">
        <f>Contributions!C8/1000000</f>
        <v>1.8327009999999999</v>
      </c>
      <c r="D8" s="150">
        <f>SUMIF('Project Status'!G:G,'Shared Building Allocation'!A8,'Project Status'!S:S)/1000000</f>
        <v>0.35299999999999998</v>
      </c>
      <c r="E8" s="151"/>
      <c r="F8" s="150">
        <f t="shared" si="1"/>
        <v>0.35299999999999998</v>
      </c>
      <c r="G8" s="152">
        <f t="shared" si="2"/>
        <v>1.4797009999999999</v>
      </c>
      <c r="H8" s="159">
        <f>Contributions!G8/1000000</f>
        <v>2.1933376600000001</v>
      </c>
      <c r="I8" s="160">
        <f>SUMIF('Project Status'!G:G,'Shared Building Allocation'!A8,'Project Status'!T:T)/1000000</f>
        <v>0</v>
      </c>
      <c r="J8" s="151"/>
      <c r="K8" s="160">
        <f t="shared" si="0"/>
        <v>0</v>
      </c>
      <c r="L8" s="152">
        <f t="shared" si="3"/>
        <v>2.1933376600000001</v>
      </c>
    </row>
    <row r="9" spans="1:12" x14ac:dyDescent="0.4">
      <c r="A9" t="s">
        <v>205</v>
      </c>
      <c r="B9" s="21">
        <f>Contributions!B9</f>
        <v>120155.48460329951</v>
      </c>
      <c r="C9" s="149">
        <f>Contributions!C9/1000000</f>
        <v>0.40933900000000001</v>
      </c>
      <c r="D9" s="150">
        <f>SUMIF('Project Status'!G:G,'Shared Building Allocation'!A9,'Project Status'!S:S)/1000000</f>
        <v>1.2061345000000001</v>
      </c>
      <c r="E9" s="151"/>
      <c r="F9" s="150">
        <f t="shared" si="1"/>
        <v>1.2061345000000001</v>
      </c>
      <c r="G9" s="152">
        <f t="shared" si="2"/>
        <v>-0.7967955000000001</v>
      </c>
      <c r="H9" s="159">
        <f>Contributions!G9/1000000</f>
        <v>0.47701535000000006</v>
      </c>
      <c r="I9" s="160">
        <f>SUMIF('Project Status'!G:G,'Shared Building Allocation'!A9,'Project Status'!T:T)/1000000</f>
        <v>0</v>
      </c>
      <c r="J9" s="151"/>
      <c r="K9" s="160">
        <f t="shared" si="0"/>
        <v>0</v>
      </c>
      <c r="L9" s="152">
        <f t="shared" si="3"/>
        <v>0.47701535000000006</v>
      </c>
    </row>
    <row r="10" spans="1:12" x14ac:dyDescent="0.4">
      <c r="A10" t="s">
        <v>207</v>
      </c>
      <c r="B10" s="21">
        <f>Contributions!B10</f>
        <v>280022.39987629937</v>
      </c>
      <c r="C10" s="149">
        <f>Contributions!C10/1000000</f>
        <v>0.95396499999999995</v>
      </c>
      <c r="D10" s="150">
        <f>SUMIF('Project Status'!G:G,'Shared Building Allocation'!A10,'Project Status'!S:S)/1000000</f>
        <v>1.5951875</v>
      </c>
      <c r="E10" s="151">
        <f>-D22/1000000</f>
        <v>-0.55831562499999998</v>
      </c>
      <c r="F10" s="150">
        <f t="shared" si="1"/>
        <v>1.0368718750000001</v>
      </c>
      <c r="G10" s="152">
        <f t="shared" si="2"/>
        <v>-8.2906875000000158E-2</v>
      </c>
      <c r="H10" s="159">
        <f>Contributions!G10/1000000</f>
        <v>1.0547257800000001</v>
      </c>
      <c r="I10" s="160">
        <f>SUMIF('Project Status'!G:G,'Shared Building Allocation'!A10,'Project Status'!T:T)/1000000</f>
        <v>1.3394999999999999</v>
      </c>
      <c r="J10" s="151">
        <f>-I22/1000000</f>
        <v>-0.46882499999999994</v>
      </c>
      <c r="K10" s="160">
        <f t="shared" si="0"/>
        <v>0.87067499999999998</v>
      </c>
      <c r="L10" s="152">
        <f t="shared" si="3"/>
        <v>0.18405078000000008</v>
      </c>
    </row>
    <row r="11" spans="1:12" x14ac:dyDescent="0.4">
      <c r="A11" t="s">
        <v>206</v>
      </c>
      <c r="B11" s="21">
        <f>Contributions!B11</f>
        <v>106166.70000000001</v>
      </c>
      <c r="C11" s="149">
        <f>Contributions!C11/1000000</f>
        <v>0.36168299999999998</v>
      </c>
      <c r="D11" s="150">
        <f>SUMIF('Project Status'!G:G,'Shared Building Allocation'!A11,'Project Status'!S:S)/1000000</f>
        <v>4.8999999999999998E-3</v>
      </c>
      <c r="E11" s="151"/>
      <c r="F11" s="150">
        <f t="shared" si="1"/>
        <v>4.8999999999999998E-3</v>
      </c>
      <c r="G11" s="152">
        <f t="shared" si="2"/>
        <v>0.35678299999999996</v>
      </c>
      <c r="H11" s="159">
        <f>Contributions!G11/1000000</f>
        <v>0.41981162</v>
      </c>
      <c r="I11" s="160">
        <f>SUMIF('Project Status'!G:G,'Shared Building Allocation'!A11,'Project Status'!T:T)/1000000</f>
        <v>0</v>
      </c>
      <c r="J11" s="151"/>
      <c r="K11" s="160">
        <f t="shared" si="0"/>
        <v>0</v>
      </c>
      <c r="L11" s="152">
        <f t="shared" si="3"/>
        <v>0.41981162</v>
      </c>
    </row>
    <row r="12" spans="1:12" x14ac:dyDescent="0.4">
      <c r="A12" t="s">
        <v>201</v>
      </c>
      <c r="B12" s="21">
        <f>Contributions!B12</f>
        <v>59008.361666666671</v>
      </c>
      <c r="C12" s="149">
        <f>Contributions!C12/1000000</f>
        <v>0.20102700000000001</v>
      </c>
      <c r="D12" s="150">
        <f>SUMIF('Project Status'!G:G,'Shared Building Allocation'!A12,'Project Status'!S:S)/1000000</f>
        <v>0.3</v>
      </c>
      <c r="E12" s="151"/>
      <c r="F12" s="150">
        <f t="shared" si="1"/>
        <v>0.3</v>
      </c>
      <c r="G12" s="152">
        <f t="shared" si="2"/>
        <v>-9.8972999999999978E-2</v>
      </c>
      <c r="H12" s="159">
        <f>Contributions!G12/1000000</f>
        <v>0.39358580000000004</v>
      </c>
      <c r="I12" s="160">
        <f>SUMIF('Project Status'!G:G,'Shared Building Allocation'!A12,'Project Status'!T:T)/1000000</f>
        <v>0</v>
      </c>
      <c r="J12" s="151"/>
      <c r="K12" s="160">
        <f t="shared" si="0"/>
        <v>0</v>
      </c>
      <c r="L12" s="152">
        <f t="shared" si="3"/>
        <v>0.39358580000000004</v>
      </c>
    </row>
    <row r="13" spans="1:12" x14ac:dyDescent="0.4">
      <c r="A13" t="s">
        <v>208</v>
      </c>
      <c r="B13" s="21">
        <f>Contributions!B13</f>
        <v>390796.88477064227</v>
      </c>
      <c r="C13" s="149">
        <f>Contributions!C13/1000000</f>
        <v>1.3313459999999999</v>
      </c>
      <c r="D13" s="150">
        <f>SUMIF('Project Status'!G:G,'Shared Building Allocation'!A13,'Project Status'!S:S)/1000000</f>
        <v>2.9539377599999996</v>
      </c>
      <c r="E13" s="151"/>
      <c r="F13" s="150">
        <f t="shared" si="1"/>
        <v>2.9539377599999996</v>
      </c>
      <c r="G13" s="152">
        <f t="shared" si="2"/>
        <v>-1.6225917599999997</v>
      </c>
      <c r="H13" s="159">
        <f>Contributions!G13/1000000</f>
        <v>1.57264801</v>
      </c>
      <c r="I13" s="160">
        <f>SUMIF('Project Status'!G:G,'Shared Building Allocation'!A13,'Project Status'!T:T)/1000000</f>
        <v>0</v>
      </c>
      <c r="J13" s="151"/>
      <c r="K13" s="160">
        <f t="shared" si="0"/>
        <v>0</v>
      </c>
      <c r="L13" s="152">
        <f t="shared" si="3"/>
        <v>1.57264801</v>
      </c>
    </row>
    <row r="14" spans="1:12" ht="15" thickBot="1" x14ac:dyDescent="0.45">
      <c r="A14" s="25"/>
      <c r="B14" s="25">
        <v>2748810.0535201132</v>
      </c>
      <c r="C14" s="153">
        <f>SUM(C5:C13)</f>
        <v>9.3644990000000004</v>
      </c>
      <c r="D14" s="154">
        <f>SUM(D5:D13)</f>
        <v>9.4206202599999997</v>
      </c>
      <c r="E14" s="155"/>
      <c r="F14" s="154">
        <f>SUM(F5:F13)</f>
        <v>9.4206202599999997</v>
      </c>
      <c r="G14" s="156">
        <f>SUM(G5:G13)</f>
        <v>-5.6121260000000284E-2</v>
      </c>
      <c r="H14" s="161">
        <f>SUM(H5:H13)</f>
        <v>11.02928329</v>
      </c>
      <c r="I14" s="162">
        <f>SUM(I5:I13)</f>
        <v>7.2949999999999999</v>
      </c>
      <c r="J14" s="155"/>
      <c r="K14" s="162">
        <f>SUM(K5:K13)</f>
        <v>7.2949999999999999</v>
      </c>
      <c r="L14" s="156">
        <f>SUM(L5:L13)</f>
        <v>3.7342832899999996</v>
      </c>
    </row>
    <row r="18" spans="1:9" x14ac:dyDescent="0.4">
      <c r="A18" s="20" t="s">
        <v>120</v>
      </c>
    </row>
    <row r="19" spans="1:9" s="20" customFormat="1" x14ac:dyDescent="0.4">
      <c r="D19" s="31" t="s">
        <v>121</v>
      </c>
      <c r="I19" s="31" t="s">
        <v>121</v>
      </c>
    </row>
    <row r="20" spans="1:9" s="20" customFormat="1" x14ac:dyDescent="0.4">
      <c r="C20" s="52" t="s">
        <v>150</v>
      </c>
      <c r="D20" s="32">
        <f>SUMIF('Project Status'!H:H,'Shared Building Allocation'!C20,'Project Status'!S:S)</f>
        <v>1595187.5</v>
      </c>
      <c r="I20" s="32">
        <f>SUMIF('Project Status'!H:H,'Shared Building Allocation'!C20,'Project Status'!T:T)</f>
        <v>1339500</v>
      </c>
    </row>
    <row r="21" spans="1:9" s="20" customFormat="1" ht="6.45" customHeight="1" x14ac:dyDescent="0.4">
      <c r="D21" s="32"/>
      <c r="I21" s="32"/>
    </row>
    <row r="22" spans="1:9" s="20" customFormat="1" x14ac:dyDescent="0.4">
      <c r="C22" s="34" t="s">
        <v>122</v>
      </c>
      <c r="D22" s="32">
        <f>D20*0.35</f>
        <v>558315.625</v>
      </c>
      <c r="I22" s="32">
        <f>I20*0.35</f>
        <v>468824.99999999994</v>
      </c>
    </row>
    <row r="23" spans="1:9" s="20" customFormat="1" x14ac:dyDescent="0.4">
      <c r="C23" s="34" t="s">
        <v>123</v>
      </c>
      <c r="D23" s="32">
        <f>D20*0.65</f>
        <v>1036871.875</v>
      </c>
      <c r="I23" s="32">
        <f>I20*0.65</f>
        <v>870675</v>
      </c>
    </row>
    <row r="24" spans="1:9" s="20" customFormat="1" x14ac:dyDescent="0.4">
      <c r="D24" s="33">
        <f>SUM(D22:D23)</f>
        <v>1595187.5</v>
      </c>
      <c r="I24" s="33">
        <f>SUM(I22:I23)</f>
        <v>1339500</v>
      </c>
    </row>
    <row r="25" spans="1:9" s="20" customFormat="1" x14ac:dyDescent="0.4"/>
  </sheetData>
  <pageMargins left="0.7" right="0.7" top="0.75" bottom="0.75" header="0.3" footer="0.3"/>
  <pageSetup orientation="landscape"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4"/>
  </sheetPr>
  <dimension ref="A3:H20"/>
  <sheetViews>
    <sheetView zoomScale="90" zoomScaleNormal="90" workbookViewId="0">
      <selection activeCell="H20" sqref="H20"/>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38.3828125" bestFit="1" customWidth="1"/>
    <col min="6" max="6" width="12.38281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Status'!C:J,8,FALSE)</f>
        <v>Construction</v>
      </c>
      <c r="G4" s="11" t="str">
        <f>VLOOKUP(A4,'Project Status'!C:K,9,FALSE)</f>
        <v>Ben Bedock</v>
      </c>
      <c r="H4" s="101">
        <f>VLOOKUP(A4,'Project Status'!C:M,11,FALSE)</f>
        <v>239341</v>
      </c>
    </row>
    <row r="8" spans="1:8" x14ac:dyDescent="0.4">
      <c r="E8" s="43" t="s">
        <v>126</v>
      </c>
    </row>
    <row r="9" spans="1:8" x14ac:dyDescent="0.4">
      <c r="E9" s="22" t="s">
        <v>221</v>
      </c>
      <c r="F9" s="35" t="s">
        <v>141</v>
      </c>
      <c r="H9" s="44">
        <v>13550</v>
      </c>
    </row>
    <row r="10" spans="1:8" x14ac:dyDescent="0.4">
      <c r="E10" s="22" t="s">
        <v>240</v>
      </c>
      <c r="F10" t="s">
        <v>220</v>
      </c>
      <c r="H10" s="44">
        <v>225791</v>
      </c>
    </row>
    <row r="18" spans="5:8" x14ac:dyDescent="0.4">
      <c r="E18" s="167" t="s">
        <v>293</v>
      </c>
      <c r="F18" s="168"/>
      <c r="G18" s="167"/>
      <c r="H18" s="169">
        <f>SUM(H9:H17)</f>
        <v>239341</v>
      </c>
    </row>
    <row r="20" spans="5:8" x14ac:dyDescent="0.4">
      <c r="E20" s="170" t="s">
        <v>138</v>
      </c>
      <c r="F20" s="170"/>
      <c r="G20" s="170"/>
      <c r="H20" s="171">
        <f>H4-H18</f>
        <v>0</v>
      </c>
    </row>
  </sheetData>
  <pageMargins left="0.7" right="0.7" top="0.75" bottom="0.75" header="0.3" footer="0.3"/>
  <pageSetup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3.3828125" bestFit="1" customWidth="1"/>
    <col min="6" max="6" width="17.15234375" bestFit="1" customWidth="1"/>
    <col min="7" max="7" width="8.843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Status'!C:J,8,FALSE)</f>
        <v>Construction</v>
      </c>
      <c r="G4" s="11" t="str">
        <f>VLOOKUP(A4,'Project Status'!C:K,9,FALSE)</f>
        <v>Erin Fry</v>
      </c>
      <c r="H4" s="101">
        <f>VLOOKUP(A4,'Project Status'!C:M,11,FALSE)</f>
        <v>715000</v>
      </c>
    </row>
    <row r="8" spans="1:8" x14ac:dyDescent="0.4">
      <c r="E8" s="43" t="s">
        <v>126</v>
      </c>
    </row>
    <row r="9" spans="1:8" x14ac:dyDescent="0.4">
      <c r="E9" s="22" t="s">
        <v>317</v>
      </c>
      <c r="F9" s="35" t="s">
        <v>316</v>
      </c>
      <c r="H9" s="44">
        <v>96166</v>
      </c>
    </row>
    <row r="10" spans="1:8" x14ac:dyDescent="0.4">
      <c r="E10" s="22"/>
      <c r="F10" s="20" t="s">
        <v>349</v>
      </c>
      <c r="H10" s="44"/>
    </row>
    <row r="11" spans="1:8" x14ac:dyDescent="0.4">
      <c r="E11" s="34" t="s">
        <v>351</v>
      </c>
      <c r="H11" s="111">
        <f>715000-96166</f>
        <v>618834</v>
      </c>
    </row>
    <row r="18" spans="5:8" x14ac:dyDescent="0.4">
      <c r="E18" s="167" t="s">
        <v>293</v>
      </c>
      <c r="F18" s="168"/>
      <c r="G18" s="167"/>
      <c r="H18" s="169">
        <f>SUM(H9:H17)</f>
        <v>715000</v>
      </c>
    </row>
    <row r="20" spans="5:8" x14ac:dyDescent="0.4">
      <c r="E20" s="170" t="s">
        <v>138</v>
      </c>
      <c r="F20" s="170"/>
      <c r="G20" s="170"/>
      <c r="H20" s="171">
        <f>H4-H18</f>
        <v>0</v>
      </c>
    </row>
  </sheetData>
  <pageMargins left="0.7" right="0.7" top="0.75" bottom="0.75" header="0.3" footer="0.3"/>
  <pageSetup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6.84375" bestFit="1" customWidth="1"/>
    <col min="6" max="6" width="22.69140625" bestFit="1" customWidth="1"/>
    <col min="7" max="7" width="11"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4,5,8,9th Floor - Replace Controls (Phase 3)</v>
      </c>
      <c r="F4" s="11" t="str">
        <f>VLOOKUP(A4,'Project Status'!C:J,8,FALSE)</f>
        <v>Planning</v>
      </c>
      <c r="G4" s="11" t="str">
        <f>VLOOKUP(A4,'Project Status'!C:K,9,FALSE)</f>
        <v>Hans Mooy</v>
      </c>
      <c r="H4" s="101">
        <f>VLOOKUP(A4,'Project Status'!C:M,11,FALSE)</f>
        <v>160500</v>
      </c>
    </row>
    <row r="8" spans="1:8" x14ac:dyDescent="0.4">
      <c r="E8" s="43" t="s">
        <v>126</v>
      </c>
    </row>
    <row r="9" spans="1:8" x14ac:dyDescent="0.4">
      <c r="E9" s="22" t="s">
        <v>272</v>
      </c>
      <c r="F9" s="35"/>
      <c r="H9" s="44">
        <v>24500</v>
      </c>
    </row>
    <row r="10" spans="1:8" x14ac:dyDescent="0.4">
      <c r="E10" s="22" t="s">
        <v>294</v>
      </c>
      <c r="H10" s="44">
        <v>136000</v>
      </c>
    </row>
    <row r="18" spans="5:8" x14ac:dyDescent="0.4">
      <c r="E18" s="167" t="s">
        <v>293</v>
      </c>
      <c r="F18" s="168"/>
      <c r="G18" s="167"/>
      <c r="H18" s="169">
        <f>SUM(H9:H17)</f>
        <v>160500</v>
      </c>
    </row>
    <row r="20" spans="5:8" x14ac:dyDescent="0.4">
      <c r="E20" s="170" t="s">
        <v>138</v>
      </c>
      <c r="F20" s="170"/>
      <c r="G20" s="170"/>
      <c r="H20" s="171">
        <f>H4-H18</f>
        <v>0</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31.3046875" bestFit="1" customWidth="1"/>
    <col min="6" max="6" width="7" bestFit="1" customWidth="1"/>
    <col min="7" max="7" width="11"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v>
      </c>
      <c r="F4" s="11" t="str">
        <f>VLOOKUP(A4,'Project Status'!C:J,8,FALSE)</f>
        <v>Design</v>
      </c>
      <c r="G4" s="11" t="str">
        <f>VLOOKUP(A4,'Project Status'!C:K,9,FALSE)</f>
        <v>Hans Mooy</v>
      </c>
      <c r="H4" s="101">
        <f>VLOOKUP(A4,'Project Status'!C:M,11,FALSE)</f>
        <v>23400</v>
      </c>
    </row>
    <row r="8" spans="1:8" x14ac:dyDescent="0.4">
      <c r="E8" s="43" t="s">
        <v>126</v>
      </c>
    </row>
    <row r="9" spans="1:8" x14ac:dyDescent="0.4">
      <c r="E9" t="s">
        <v>248</v>
      </c>
      <c r="F9" t="s">
        <v>141</v>
      </c>
      <c r="H9" s="44">
        <v>23400</v>
      </c>
    </row>
    <row r="12" spans="1:8" x14ac:dyDescent="0.4">
      <c r="F12" s="10"/>
      <c r="G12" s="10"/>
      <c r="H12" s="47"/>
    </row>
    <row r="18" spans="5:8" x14ac:dyDescent="0.4">
      <c r="E18" s="167" t="s">
        <v>293</v>
      </c>
      <c r="F18" s="168"/>
      <c r="G18" s="167"/>
      <c r="H18" s="169">
        <f>SUM(H9:H17)</f>
        <v>23400</v>
      </c>
    </row>
    <row r="20" spans="5:8" x14ac:dyDescent="0.4">
      <c r="E20" s="170" t="s">
        <v>138</v>
      </c>
      <c r="F20" s="170"/>
      <c r="G20" s="170"/>
      <c r="H20" s="171">
        <f>H4-H18</f>
        <v>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4"/>
  </sheetPr>
  <dimension ref="A3:H20"/>
  <sheetViews>
    <sheetView zoomScale="90" zoomScaleNormal="90" workbookViewId="0">
      <selection activeCell="H19" sqref="H19"/>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2.38281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Status'!C:J,8,FALSE)</f>
        <v>Construction</v>
      </c>
      <c r="G4" s="11" t="str">
        <f>VLOOKUP(A4,'Project Status'!C:K,9,FALSE)</f>
        <v>Ben Bedock</v>
      </c>
      <c r="H4" s="101">
        <f>VLOOKUP(A4,'Project Status'!C:M,11,FALSE)</f>
        <v>300000</v>
      </c>
    </row>
    <row r="8" spans="1:8" x14ac:dyDescent="0.4">
      <c r="E8" s="43" t="s">
        <v>126</v>
      </c>
    </row>
    <row r="9" spans="1:8" x14ac:dyDescent="0.4">
      <c r="E9" s="22" t="s">
        <v>305</v>
      </c>
      <c r="F9" t="s">
        <v>141</v>
      </c>
      <c r="H9" s="44">
        <v>300000</v>
      </c>
    </row>
    <row r="10" spans="1:8" x14ac:dyDescent="0.4">
      <c r="E10" s="22"/>
    </row>
    <row r="12" spans="1:8" x14ac:dyDescent="0.4">
      <c r="F12" s="10"/>
      <c r="G12" s="10"/>
      <c r="H12" s="47"/>
    </row>
    <row r="18" spans="5:8" x14ac:dyDescent="0.4">
      <c r="E18" s="167" t="s">
        <v>293</v>
      </c>
      <c r="F18" s="168"/>
      <c r="G18" s="167"/>
      <c r="H18" s="169">
        <f>SUM(H9:H17)</f>
        <v>300000</v>
      </c>
    </row>
    <row r="20" spans="5:8" x14ac:dyDescent="0.4">
      <c r="E20" s="170" t="s">
        <v>138</v>
      </c>
      <c r="F20" s="170"/>
      <c r="G20" s="170"/>
      <c r="H20" s="171">
        <f>H4-H18</f>
        <v>0</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39.69140625" bestFit="1" customWidth="1"/>
    <col min="6" max="6" width="12.3828125"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Status'!C:J,8,FALSE)</f>
        <v>Construction</v>
      </c>
      <c r="G4" s="11" t="str">
        <f>VLOOKUP(A4,'Project Status'!C:K,9,FALSE)</f>
        <v>Sean Rewers</v>
      </c>
      <c r="H4" s="101">
        <f>VLOOKUP(A4,'Project Status'!C:M,11,FALSE)</f>
        <v>24997</v>
      </c>
    </row>
    <row r="8" spans="1:8" x14ac:dyDescent="0.4">
      <c r="E8" s="43" t="s">
        <v>126</v>
      </c>
    </row>
    <row r="9" spans="1:8" x14ac:dyDescent="0.4">
      <c r="E9" s="22" t="s">
        <v>294</v>
      </c>
      <c r="F9" t="s">
        <v>141</v>
      </c>
      <c r="H9" s="44">
        <v>19297</v>
      </c>
    </row>
    <row r="10" spans="1:8" x14ac:dyDescent="0.4">
      <c r="E10" s="22" t="s">
        <v>305</v>
      </c>
      <c r="F10" t="s">
        <v>220</v>
      </c>
      <c r="H10" s="44">
        <v>5700</v>
      </c>
    </row>
    <row r="12" spans="1:8" x14ac:dyDescent="0.4">
      <c r="F12" s="10"/>
      <c r="G12" s="10"/>
      <c r="H12" s="47"/>
    </row>
    <row r="18" spans="5:8" x14ac:dyDescent="0.4">
      <c r="E18" s="167" t="s">
        <v>293</v>
      </c>
      <c r="F18" s="168"/>
      <c r="G18" s="167"/>
      <c r="H18" s="169">
        <f>SUM(H9:H17)</f>
        <v>24997</v>
      </c>
    </row>
    <row r="20" spans="5:8" x14ac:dyDescent="0.4">
      <c r="E20" s="170" t="s">
        <v>138</v>
      </c>
      <c r="F20" s="170"/>
      <c r="G20" s="170"/>
      <c r="H20" s="171">
        <f>H4-H18</f>
        <v>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27.15234375" bestFit="1" customWidth="1"/>
    <col min="5" max="5" width="45.3046875" bestFit="1" customWidth="1"/>
    <col min="6" max="6" width="6.691406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20792</v>
      </c>
      <c r="B4" s="11">
        <f>VLOOKUP(A4,'Project Status'!C:D,2,FALSE)</f>
        <v>0</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Status'!C:J,8,FALSE)</f>
        <v>Award</v>
      </c>
      <c r="G4" s="11" t="str">
        <f>VLOOKUP(A4,'Project Status'!C:K,9,FALSE)</f>
        <v>Ben Bedock</v>
      </c>
      <c r="H4" s="101">
        <f>VLOOKUP(A4,'Project Status'!C:M,11,FALSE)</f>
        <v>483440</v>
      </c>
    </row>
    <row r="8" spans="1:8" x14ac:dyDescent="0.4">
      <c r="E8" s="43" t="s">
        <v>126</v>
      </c>
    </row>
    <row r="9" spans="1:8" x14ac:dyDescent="0.4">
      <c r="E9" s="22" t="s">
        <v>222</v>
      </c>
      <c r="F9" t="s">
        <v>141</v>
      </c>
      <c r="H9" s="44">
        <v>483440</v>
      </c>
    </row>
    <row r="10" spans="1:8" x14ac:dyDescent="0.4">
      <c r="E10" s="22"/>
      <c r="H10" s="44"/>
    </row>
    <row r="12" spans="1:8" x14ac:dyDescent="0.4">
      <c r="F12" s="10"/>
      <c r="G12" s="10"/>
      <c r="H12" s="47"/>
    </row>
    <row r="18" spans="5:8" x14ac:dyDescent="0.4">
      <c r="E18" s="167" t="s">
        <v>293</v>
      </c>
      <c r="F18" s="168"/>
      <c r="G18" s="167"/>
      <c r="H18" s="169">
        <f>SUM(H9:H17)</f>
        <v>483440</v>
      </c>
    </row>
    <row r="20" spans="5:8" x14ac:dyDescent="0.4">
      <c r="E20" s="170" t="s">
        <v>138</v>
      </c>
      <c r="F20" s="170"/>
      <c r="G20" s="170"/>
      <c r="H20" s="171">
        <f>H4-H18</f>
        <v>0</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5"/>
  <sheetViews>
    <sheetView zoomScaleNormal="100" workbookViewId="0"/>
  </sheetViews>
  <sheetFormatPr defaultRowHeight="14.6" x14ac:dyDescent="0.4"/>
  <cols>
    <col min="1" max="1" width="5.69140625" customWidth="1"/>
    <col min="2" max="2" width="23.3046875" bestFit="1" customWidth="1"/>
    <col min="3" max="3" width="14.3046875" style="44" bestFit="1" customWidth="1"/>
    <col min="4" max="4" width="5.69140625" customWidth="1"/>
    <col min="6" max="6" width="14.3046875" bestFit="1" customWidth="1"/>
    <col min="8" max="8" width="5.69140625" customWidth="1"/>
    <col min="20" max="20" width="9.3046875" customWidth="1"/>
  </cols>
  <sheetData>
    <row r="1" spans="1:10" x14ac:dyDescent="0.4">
      <c r="A1" s="173" t="s">
        <v>299</v>
      </c>
    </row>
    <row r="2" spans="1:10" x14ac:dyDescent="0.4">
      <c r="B2" s="48" t="s">
        <v>142</v>
      </c>
    </row>
    <row r="3" spans="1:10" x14ac:dyDescent="0.4">
      <c r="B3" t="s">
        <v>145</v>
      </c>
      <c r="E3" s="48" t="s">
        <v>143</v>
      </c>
    </row>
    <row r="4" spans="1:10" x14ac:dyDescent="0.4">
      <c r="B4" s="49" t="s">
        <v>144</v>
      </c>
      <c r="C4" s="50">
        <f>Contributions!C14</f>
        <v>9364499</v>
      </c>
      <c r="E4" s="22" t="s">
        <v>140</v>
      </c>
      <c r="F4" s="44">
        <f>SUMIF('10085'!$E:$E,'JE LOG_FY23'!E4,'10085'!$H:$H)+SUMIF('10098'!$E:$E,'JE LOG_FY23'!E4,'10098'!$H:$H)+SUMIF('10146'!$E:$E,'JE LOG_FY23'!E4,'10146'!$H:$H)+SUMIF('20179'!$E:$E,'JE LOG_FY23'!E4,'20179'!$H:$H)+SUMIF('20336'!$E:$E,'JE LOG_FY23'!E4,'20336'!$H:$H)+SUMIF('20431'!$E:$E,'JE LOG_FY23'!E4,'20431'!$H:$H)+SUMIF('20478'!$E:$E,'JE LOG_FY23'!E4,'20478'!$H:$H)+SUMIF('20489'!$E:$E,'JE LOG_FY23'!E4,'20489'!$H:$H)+SUMIF('20497'!$E:$E,'JE LOG_FY23'!E4,'20497'!$H:$H)+SUMIF('20506'!$E:$E,'JE LOG_FY23'!E4,'20506'!$H:$H)++SUMIF('20562'!$E:$E,'JE LOG_FY23'!E4,'20562'!$H:$H)+SUMIF('20566'!$E:$E,'JE LOG_FY23'!E4,'20566'!$H:$H)+SUMIF('20573'!$E:$E,'JE LOG_FY23'!E4,'20573'!$H:$H)+SUMIF('20574'!$E:$E,'JE LOG_FY23'!E4,'20574'!$H:$H)+SUMIF('20577'!$E:$E,'JE LOG_FY23'!E4,'20577'!$H:$H)+SUMIF('20644'!$E:$E,'JE LOG_FY23'!E4,'20644'!$H:$H)+SUMIF('20645'!$E:$E,'JE LOG_FY23'!E4,'20645'!$H:$H)+SUMIF('20667'!$E:$E,'JE LOG_FY23'!E4,'20667'!$H:$H)+SUMIF('20668'!$E:$E,'JE LOG_FY23'!E4,'20668'!$H:$H)+SUMIF('20698'!$E:$E,'JE LOG_FY23'!E4,'20698'!$H:$H)+SUMIF('20700'!$E:$E,'JE LOG_FY23'!E4,'20700'!$H:$H)+SUMIF('20701'!$E:$E,'JE LOG_FY23'!E4,'20701'!$H:$H)+SUMIF('20702'!$E:$E,'JE LOG_FY23'!E4,'20702'!$H:$H)+SUMIF('20718'!$E:$E,'JE LOG_FY23'!E4,'20718'!$H:$H)+SUMIF('20723'!$E:$E,'JE LOG_FY23'!E4,'20723'!$H:$H)+SUMIF('20724'!$E:$E,'JE LOG_FY23'!E4,'20724'!$H:$H)+SUMIF('20771'!$E:$E,'JE LOG_FY23'!E4,'20771'!$H:$H)+SUMIF('20735'!$E:$E,'JE LOG_FY23'!E4,'20735'!$H:$H)+SUMIF('20792'!$E:$E,'JE LOG_FY23'!E4,'20792'!$H:$H)</f>
        <v>1512340</v>
      </c>
    </row>
    <row r="5" spans="1:10" x14ac:dyDescent="0.4">
      <c r="B5" s="55" t="s">
        <v>148</v>
      </c>
      <c r="C5" s="56">
        <f>SUM(C1:C4)</f>
        <v>9364499</v>
      </c>
      <c r="J5" s="22"/>
    </row>
    <row r="8" spans="1:10" x14ac:dyDescent="0.4">
      <c r="B8" t="s">
        <v>146</v>
      </c>
      <c r="F8" s="45"/>
    </row>
    <row r="9" spans="1:10" x14ac:dyDescent="0.4">
      <c r="B9" s="22" t="s">
        <v>136</v>
      </c>
      <c r="C9" s="44">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63"/>
    </row>
    <row r="10" spans="1:10" x14ac:dyDescent="0.4">
      <c r="B10" s="22" t="s">
        <v>169</v>
      </c>
      <c r="C10" s="44">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63"/>
    </row>
    <row r="11" spans="1:10" x14ac:dyDescent="0.4">
      <c r="B11" s="22" t="s">
        <v>179</v>
      </c>
      <c r="C11" s="44">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63"/>
    </row>
    <row r="12" spans="1:10" x14ac:dyDescent="0.4">
      <c r="B12" s="22" t="s">
        <v>221</v>
      </c>
      <c r="C12" s="44">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63"/>
    </row>
    <row r="13" spans="1:10" x14ac:dyDescent="0.4">
      <c r="B13" s="22" t="s">
        <v>233</v>
      </c>
      <c r="C13" s="44">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63"/>
    </row>
    <row r="14" spans="1:10" x14ac:dyDescent="0.4">
      <c r="B14" s="22" t="s">
        <v>240</v>
      </c>
      <c r="C14" s="44">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63"/>
    </row>
    <row r="15" spans="1:10" x14ac:dyDescent="0.4">
      <c r="B15" s="22" t="s">
        <v>248</v>
      </c>
      <c r="C15" s="44">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63"/>
    </row>
    <row r="16" spans="1:10" x14ac:dyDescent="0.4">
      <c r="B16" s="22" t="s">
        <v>272</v>
      </c>
      <c r="C16" s="44">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63"/>
    </row>
    <row r="17" spans="1:8" x14ac:dyDescent="0.4">
      <c r="B17" s="22" t="s">
        <v>294</v>
      </c>
      <c r="C17" s="44">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4"/>
    </row>
    <row r="18" spans="1:8" x14ac:dyDescent="0.4">
      <c r="B18" s="22" t="s">
        <v>305</v>
      </c>
      <c r="C18" s="44">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4"/>
    </row>
    <row r="19" spans="1:8" x14ac:dyDescent="0.4">
      <c r="B19" s="22" t="s">
        <v>317</v>
      </c>
      <c r="C19" s="44">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51"/>
      <c r="C20" s="50"/>
    </row>
    <row r="21" spans="1:8" x14ac:dyDescent="0.4">
      <c r="A21" s="80"/>
      <c r="B21" s="57" t="s">
        <v>147</v>
      </c>
      <c r="C21" s="58">
        <f>SUM(C9:C20)</f>
        <v>8318346.2599999998</v>
      </c>
      <c r="D21" s="80">
        <f>C21/C5</f>
        <v>0.88828524195474845</v>
      </c>
      <c r="H21" s="80"/>
    </row>
    <row r="23" spans="1:8" x14ac:dyDescent="0.4">
      <c r="B23" t="s">
        <v>198</v>
      </c>
      <c r="C23" s="44">
        <f>F4</f>
        <v>1512340</v>
      </c>
    </row>
    <row r="25" spans="1:8" x14ac:dyDescent="0.4">
      <c r="A25" s="80"/>
      <c r="B25" s="53" t="s">
        <v>138</v>
      </c>
      <c r="C25" s="54">
        <f>C4-C21-C23</f>
        <v>-466187.25999999978</v>
      </c>
      <c r="D25" s="80">
        <f>C25/C5</f>
        <v>-4.9782402667777503E-2</v>
      </c>
      <c r="H25" s="80"/>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0"/>
  <sheetViews>
    <sheetView workbookViewId="0">
      <selection activeCell="A12" sqref="A12"/>
    </sheetView>
  </sheetViews>
  <sheetFormatPr defaultRowHeight="14.6" x14ac:dyDescent="0.4"/>
  <cols>
    <col min="2" max="2" width="38.15234375" bestFit="1" customWidth="1"/>
    <col min="3" max="3" width="17.15234375" bestFit="1" customWidth="1"/>
  </cols>
  <sheetData>
    <row r="1" spans="2:3" x14ac:dyDescent="0.4">
      <c r="B1" t="s">
        <v>127</v>
      </c>
      <c r="C1" t="s">
        <v>199</v>
      </c>
    </row>
    <row r="2" spans="2:3" x14ac:dyDescent="0.4">
      <c r="B2" t="s">
        <v>10</v>
      </c>
      <c r="C2" t="s">
        <v>200</v>
      </c>
    </row>
    <row r="3" spans="2:3" x14ac:dyDescent="0.4">
      <c r="B3" t="s">
        <v>12</v>
      </c>
      <c r="C3" t="s">
        <v>202</v>
      </c>
    </row>
    <row r="4" spans="2:3" x14ac:dyDescent="0.4">
      <c r="B4" t="s">
        <v>14</v>
      </c>
      <c r="C4" t="s">
        <v>203</v>
      </c>
    </row>
    <row r="5" spans="2:3" x14ac:dyDescent="0.4">
      <c r="B5" t="s">
        <v>15</v>
      </c>
      <c r="C5" t="s">
        <v>204</v>
      </c>
    </row>
    <row r="6" spans="2:3" x14ac:dyDescent="0.4">
      <c r="B6" t="s">
        <v>157</v>
      </c>
      <c r="C6" t="s">
        <v>205</v>
      </c>
    </row>
    <row r="7" spans="2:3" x14ac:dyDescent="0.4">
      <c r="B7" t="s">
        <v>21</v>
      </c>
      <c r="C7" t="s">
        <v>207</v>
      </c>
    </row>
    <row r="8" spans="2:3" x14ac:dyDescent="0.4">
      <c r="B8" t="s">
        <v>181</v>
      </c>
      <c r="C8" t="s">
        <v>206</v>
      </c>
    </row>
    <row r="9" spans="2:3" x14ac:dyDescent="0.4">
      <c r="B9" t="s">
        <v>26</v>
      </c>
      <c r="C9" t="s">
        <v>201</v>
      </c>
    </row>
    <row r="10" spans="2:3" x14ac:dyDescent="0.4">
      <c r="B10" t="s">
        <v>28</v>
      </c>
      <c r="C10" t="s">
        <v>208</v>
      </c>
    </row>
  </sheetData>
  <sortState xmlns:xlrd2="http://schemas.microsoft.com/office/spreadsheetml/2017/richdata2" ref="B2:B10">
    <sortCondition ref="B2:B10"/>
  </sortState>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828125" bestFit="1" customWidth="1"/>
    <col min="2" max="2" width="18.3046875" bestFit="1" customWidth="1"/>
    <col min="3" max="3" width="32.69140625" bestFit="1" customWidth="1"/>
    <col min="4" max="4" width="10.53515625" bestFit="1" customWidth="1"/>
    <col min="5" max="5" width="14.382812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L24"/>
  <sheetViews>
    <sheetView zoomScaleNormal="100" workbookViewId="0">
      <selection activeCell="G14" sqref="G14"/>
    </sheetView>
  </sheetViews>
  <sheetFormatPr defaultRowHeight="14.6" x14ac:dyDescent="0.4"/>
  <cols>
    <col min="1" max="1" width="21.15234375" bestFit="1" customWidth="1"/>
    <col min="2" max="2" width="12" bestFit="1" customWidth="1"/>
    <col min="3" max="3" width="13.53515625" bestFit="1" customWidth="1"/>
    <col min="5" max="5" width="21.15234375" bestFit="1" customWidth="1"/>
    <col min="6" max="6" width="12" bestFit="1" customWidth="1"/>
    <col min="7" max="7" width="13.53515625" bestFit="1" customWidth="1"/>
  </cols>
  <sheetData>
    <row r="1" spans="1:12" s="8" customFormat="1" x14ac:dyDescent="0.4">
      <c r="A1" s="10" t="s">
        <v>214</v>
      </c>
      <c r="E1" s="10" t="s">
        <v>213</v>
      </c>
    </row>
    <row r="2" spans="1:12" s="8" customFormat="1" x14ac:dyDescent="0.4">
      <c r="A2" s="20"/>
      <c r="B2" s="36"/>
      <c r="E2" s="20"/>
      <c r="F2" s="36"/>
    </row>
    <row r="3" spans="1:12" ht="14.7" customHeight="1" x14ac:dyDescent="0.4">
      <c r="A3" s="8"/>
      <c r="C3" s="12">
        <v>3.41</v>
      </c>
      <c r="E3" s="8"/>
      <c r="G3" s="12">
        <v>3.97</v>
      </c>
      <c r="L3" s="98"/>
    </row>
    <row r="4" spans="1:12" x14ac:dyDescent="0.4">
      <c r="A4" s="13" t="s">
        <v>86</v>
      </c>
      <c r="B4" s="14" t="s">
        <v>99</v>
      </c>
      <c r="C4" s="14" t="s">
        <v>88</v>
      </c>
      <c r="E4" s="13" t="s">
        <v>86</v>
      </c>
      <c r="F4" s="14" t="s">
        <v>99</v>
      </c>
      <c r="G4" s="14" t="s">
        <v>88</v>
      </c>
    </row>
    <row r="5" spans="1:12" x14ac:dyDescent="0.4">
      <c r="A5" t="s">
        <v>200</v>
      </c>
      <c r="B5" s="15">
        <v>1075461.7320675128</v>
      </c>
      <c r="C5" s="16">
        <v>3663826</v>
      </c>
      <c r="E5" t="s">
        <v>200</v>
      </c>
      <c r="F5" s="15">
        <v>1059147</v>
      </c>
      <c r="G5" s="16">
        <f>F5*$G$3</f>
        <v>4204813.59</v>
      </c>
    </row>
    <row r="6" spans="1:12" x14ac:dyDescent="0.4">
      <c r="A6" t="s">
        <v>202</v>
      </c>
      <c r="B6" s="15">
        <v>121421.42689276834</v>
      </c>
      <c r="C6" s="16">
        <v>413652</v>
      </c>
      <c r="E6" t="s">
        <v>202</v>
      </c>
      <c r="F6" s="15">
        <v>121421</v>
      </c>
      <c r="G6" s="16">
        <f t="shared" ref="G6:G13" si="0">F6*$G$3</f>
        <v>482041.37</v>
      </c>
    </row>
    <row r="7" spans="1:12" x14ac:dyDescent="0.4">
      <c r="A7" t="s">
        <v>203</v>
      </c>
      <c r="B7" s="15">
        <v>57814.730923479161</v>
      </c>
      <c r="C7" s="16">
        <v>196960</v>
      </c>
      <c r="E7" t="s">
        <v>203</v>
      </c>
      <c r="F7" s="15">
        <v>58263</v>
      </c>
      <c r="G7" s="16">
        <f t="shared" si="0"/>
        <v>231304.11000000002</v>
      </c>
    </row>
    <row r="8" spans="1:12" x14ac:dyDescent="0.4">
      <c r="A8" t="s">
        <v>204</v>
      </c>
      <c r="B8" s="15">
        <v>537962.332719445</v>
      </c>
      <c r="C8" s="16">
        <v>1832701</v>
      </c>
      <c r="E8" t="s">
        <v>204</v>
      </c>
      <c r="F8" s="15">
        <v>552478</v>
      </c>
      <c r="G8" s="16">
        <f t="shared" si="0"/>
        <v>2193337.66</v>
      </c>
    </row>
    <row r="9" spans="1:12" x14ac:dyDescent="0.4">
      <c r="A9" t="s">
        <v>205</v>
      </c>
      <c r="B9" s="15">
        <v>120155.48460329951</v>
      </c>
      <c r="C9" s="16">
        <v>409339</v>
      </c>
      <c r="E9" t="s">
        <v>205</v>
      </c>
      <c r="F9" s="15">
        <v>120155</v>
      </c>
      <c r="G9" s="16">
        <f t="shared" si="0"/>
        <v>477015.35000000003</v>
      </c>
    </row>
    <row r="10" spans="1:12" x14ac:dyDescent="0.4">
      <c r="A10" t="s">
        <v>207</v>
      </c>
      <c r="B10" s="15">
        <v>280022.39987629937</v>
      </c>
      <c r="C10" s="16">
        <v>953965</v>
      </c>
      <c r="E10" t="s">
        <v>207</v>
      </c>
      <c r="F10" s="15">
        <v>265674</v>
      </c>
      <c r="G10" s="16">
        <f t="shared" si="0"/>
        <v>1054725.78</v>
      </c>
    </row>
    <row r="11" spans="1:12" x14ac:dyDescent="0.4">
      <c r="A11" t="s">
        <v>206</v>
      </c>
      <c r="B11" s="15">
        <v>106166.70000000001</v>
      </c>
      <c r="C11" s="16">
        <v>361683</v>
      </c>
      <c r="E11" t="s">
        <v>206</v>
      </c>
      <c r="F11" s="15">
        <v>105746</v>
      </c>
      <c r="G11" s="16">
        <f t="shared" si="0"/>
        <v>419811.62</v>
      </c>
    </row>
    <row r="12" spans="1:12" x14ac:dyDescent="0.4">
      <c r="A12" t="s">
        <v>201</v>
      </c>
      <c r="B12" s="15">
        <v>59008.361666666671</v>
      </c>
      <c r="C12" s="16">
        <v>201027</v>
      </c>
      <c r="E12" t="s">
        <v>201</v>
      </c>
      <c r="F12" s="15">
        <v>99140</v>
      </c>
      <c r="G12" s="16">
        <f t="shared" si="0"/>
        <v>393585.80000000005</v>
      </c>
    </row>
    <row r="13" spans="1:12" x14ac:dyDescent="0.4">
      <c r="A13" t="s">
        <v>208</v>
      </c>
      <c r="B13" s="15">
        <v>390796.88477064227</v>
      </c>
      <c r="C13" s="16">
        <v>1331346</v>
      </c>
      <c r="E13" t="s">
        <v>208</v>
      </c>
      <c r="F13" s="15">
        <v>396133</v>
      </c>
      <c r="G13" s="16">
        <f t="shared" si="0"/>
        <v>1572648.01</v>
      </c>
    </row>
    <row r="14" spans="1:12" ht="15" thickBot="1" x14ac:dyDescent="0.45">
      <c r="A14" s="8"/>
      <c r="B14" s="17">
        <f>SUM(B5:B13)</f>
        <v>2748810.0535201132</v>
      </c>
      <c r="C14" s="18">
        <f>SUM(C5:C13)</f>
        <v>9364499</v>
      </c>
      <c r="E14" s="8"/>
      <c r="F14" s="17">
        <f>SUM(F5:F13)</f>
        <v>2778157</v>
      </c>
      <c r="G14" s="18">
        <f>SUM(G5:G13)</f>
        <v>11029283.289999999</v>
      </c>
    </row>
    <row r="17" spans="1:7" x14ac:dyDescent="0.4">
      <c r="A17" t="s">
        <v>88</v>
      </c>
      <c r="C17" s="37">
        <f>C14</f>
        <v>9364499</v>
      </c>
      <c r="E17" t="s">
        <v>88</v>
      </c>
      <c r="G17" s="37">
        <f>G14</f>
        <v>11029283.289999999</v>
      </c>
    </row>
    <row r="18" spans="1:7" x14ac:dyDescent="0.4">
      <c r="A18" t="s">
        <v>215</v>
      </c>
      <c r="C18" s="37">
        <f>'Project Status'!S36</f>
        <v>9420620.2599999998</v>
      </c>
      <c r="E18" t="s">
        <v>215</v>
      </c>
      <c r="G18" s="37">
        <f>'Project Status'!T36</f>
        <v>7295000</v>
      </c>
    </row>
    <row r="19" spans="1:7" ht="15" thickBot="1" x14ac:dyDescent="0.45">
      <c r="A19" t="s">
        <v>125</v>
      </c>
      <c r="C19" s="78">
        <f>C17-C18</f>
        <v>-56121.259999999776</v>
      </c>
      <c r="E19" t="s">
        <v>125</v>
      </c>
      <c r="G19" s="78">
        <f>G17-G18</f>
        <v>3734283.2899999991</v>
      </c>
    </row>
    <row r="24" spans="1:7" x14ac:dyDescent="0.4">
      <c r="A24" s="19"/>
      <c r="E24" s="19"/>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82812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sheetPr>
  <dimension ref="A1:Y48"/>
  <sheetViews>
    <sheetView zoomScale="90" zoomScaleNormal="90" workbookViewId="0">
      <pane ySplit="3" topLeftCell="A4" activePane="bottomLeft" state="frozen"/>
      <selection pane="bottomLeft" activeCell="A2" sqref="A2"/>
    </sheetView>
  </sheetViews>
  <sheetFormatPr defaultColWidth="9.15234375" defaultRowHeight="14.6" outlineLevelCol="1" x14ac:dyDescent="0.4"/>
  <cols>
    <col min="1" max="1" width="3.53515625" style="88" bestFit="1" customWidth="1"/>
    <col min="2" max="2" width="11.69140625" style="88" customWidth="1" outlineLevel="1"/>
    <col min="3" max="3" width="8.53515625" style="88" customWidth="1"/>
    <col min="4" max="4" width="6.3046875" style="88" hidden="1" customWidth="1" outlineLevel="1"/>
    <col min="5" max="5" width="10.3046875" style="88" hidden="1" customWidth="1" outlineLevel="1"/>
    <col min="6" max="6" width="37.53515625" style="88" hidden="1" customWidth="1" outlineLevel="1"/>
    <col min="7" max="7" width="17.3828125" style="88" hidden="1" customWidth="1" outlineLevel="1"/>
    <col min="8" max="8" width="28" style="88" hidden="1" customWidth="1" outlineLevel="1"/>
    <col min="9" max="9" width="59.15234375" style="88" bestFit="1" customWidth="1" collapsed="1"/>
    <col min="10" max="10" width="21.3828125" style="88" bestFit="1" customWidth="1"/>
    <col min="11" max="11" width="13" style="88" bestFit="1" customWidth="1"/>
    <col min="12" max="12" width="15" style="114" customWidth="1"/>
    <col min="13" max="16" width="15" style="114" hidden="1" customWidth="1" outlineLevel="1"/>
    <col min="17" max="17" width="15" style="114" customWidth="1" collapsed="1"/>
    <col min="18" max="21" width="15" style="114" customWidth="1"/>
    <col min="22" max="24" width="6.3828125" style="178" hidden="1" customWidth="1" outlineLevel="1"/>
    <col min="25" max="25" width="116.53515625" style="88" customWidth="1" collapsed="1"/>
    <col min="26" max="16384" width="9.15234375" style="88"/>
  </cols>
  <sheetData>
    <row r="1" spans="1:25" x14ac:dyDescent="0.4">
      <c r="A1" s="86" t="s">
        <v>197</v>
      </c>
    </row>
    <row r="2" spans="1:25" x14ac:dyDescent="0.4">
      <c r="A2" s="89"/>
      <c r="C2" s="174" t="s">
        <v>300</v>
      </c>
      <c r="E2" s="90"/>
      <c r="F2" s="91"/>
      <c r="G2" s="91"/>
    </row>
    <row r="3" spans="1:25" s="87" customFormat="1" ht="29.15" x14ac:dyDescent="0.4">
      <c r="A3" s="9"/>
      <c r="B3" s="9" t="s">
        <v>236</v>
      </c>
      <c r="C3" s="9" t="s">
        <v>127</v>
      </c>
      <c r="D3" s="9" t="s">
        <v>128</v>
      </c>
      <c r="E3" s="9" t="s">
        <v>129</v>
      </c>
      <c r="F3" s="92" t="s">
        <v>86</v>
      </c>
      <c r="G3" s="92" t="s">
        <v>209</v>
      </c>
      <c r="H3" s="92" t="s">
        <v>114</v>
      </c>
      <c r="I3" s="92" t="s">
        <v>87</v>
      </c>
      <c r="J3" s="9" t="s">
        <v>130</v>
      </c>
      <c r="K3" s="9" t="s">
        <v>131</v>
      </c>
      <c r="L3" s="115" t="s">
        <v>135</v>
      </c>
      <c r="M3" s="116" t="s">
        <v>132</v>
      </c>
      <c r="N3" s="116" t="s">
        <v>133</v>
      </c>
      <c r="O3" s="116" t="s">
        <v>134</v>
      </c>
      <c r="P3" s="116" t="s">
        <v>229</v>
      </c>
      <c r="Q3" s="117" t="s">
        <v>253</v>
      </c>
      <c r="R3" s="117" t="s">
        <v>255</v>
      </c>
      <c r="S3" s="128" t="s">
        <v>257</v>
      </c>
      <c r="T3" s="125" t="s">
        <v>256</v>
      </c>
      <c r="U3" s="175" t="s">
        <v>301</v>
      </c>
      <c r="V3" s="9" t="s">
        <v>302</v>
      </c>
      <c r="W3" s="9" t="s">
        <v>303</v>
      </c>
      <c r="X3" s="9" t="s">
        <v>304</v>
      </c>
      <c r="Y3" s="9" t="s">
        <v>187</v>
      </c>
    </row>
    <row r="4" spans="1:25" s="102" customFormat="1" x14ac:dyDescent="0.4">
      <c r="A4" s="105">
        <v>1</v>
      </c>
      <c r="B4" s="103" t="s">
        <v>90</v>
      </c>
      <c r="C4" s="103">
        <v>10085</v>
      </c>
      <c r="D4" s="103">
        <v>4591</v>
      </c>
      <c r="E4" s="103"/>
      <c r="F4" s="103" t="s">
        <v>28</v>
      </c>
      <c r="G4" s="104" t="str">
        <f>VLOOKUP(F4,lookup!B:C,2,FALSE)</f>
        <v>Peabody</v>
      </c>
      <c r="H4" s="103" t="s">
        <v>116</v>
      </c>
      <c r="I4" s="103" t="s">
        <v>108</v>
      </c>
      <c r="J4" s="103" t="s">
        <v>289</v>
      </c>
      <c r="K4" s="103" t="s">
        <v>159</v>
      </c>
      <c r="L4" s="118">
        <v>17500</v>
      </c>
      <c r="M4" s="119">
        <v>22000</v>
      </c>
      <c r="N4" s="119">
        <v>17500</v>
      </c>
      <c r="O4" s="119">
        <v>17500</v>
      </c>
      <c r="P4" s="119">
        <v>17500</v>
      </c>
      <c r="Q4" s="120">
        <f>'10085'!H18</f>
        <v>22000</v>
      </c>
      <c r="R4" s="120">
        <v>0</v>
      </c>
      <c r="S4" s="129">
        <f>SUM(Q4:R4)</f>
        <v>22000</v>
      </c>
      <c r="T4" s="126">
        <v>0</v>
      </c>
      <c r="U4" s="176">
        <v>0</v>
      </c>
      <c r="V4" s="180" t="str">
        <f>IF(S4=0,"no",IF(S4="","no","yes"))</f>
        <v>yes</v>
      </c>
      <c r="W4" s="180" t="str">
        <f>IF(T4=0,"no",IF(T4="","no","yes"))</f>
        <v>no</v>
      </c>
      <c r="X4" s="180" t="str">
        <f>IF(U4=0,"no",IF(U4="","no","yes"))</f>
        <v>no</v>
      </c>
      <c r="Y4" s="103" t="s">
        <v>291</v>
      </c>
    </row>
    <row r="5" spans="1:25" s="102" customFormat="1" x14ac:dyDescent="0.4">
      <c r="A5" s="105">
        <v>2</v>
      </c>
      <c r="B5" s="103" t="s">
        <v>89</v>
      </c>
      <c r="C5" s="103">
        <v>10098</v>
      </c>
      <c r="D5" s="103">
        <v>1627</v>
      </c>
      <c r="E5" s="103" t="s">
        <v>110</v>
      </c>
      <c r="F5" s="103" t="s">
        <v>21</v>
      </c>
      <c r="G5" s="104" t="str">
        <f>VLOOKUP(F5,lookup!B:C,2,FALSE)</f>
        <v>SOM Basic Sciences</v>
      </c>
      <c r="H5" s="103" t="s">
        <v>150</v>
      </c>
      <c r="I5" s="103" t="s">
        <v>242</v>
      </c>
      <c r="J5" s="103" t="s">
        <v>357</v>
      </c>
      <c r="K5" s="103" t="s">
        <v>154</v>
      </c>
      <c r="L5" s="118">
        <v>1216485.5</v>
      </c>
      <c r="M5" s="119">
        <v>1216485.5</v>
      </c>
      <c r="N5" s="119">
        <v>1212059.54</v>
      </c>
      <c r="O5" s="119">
        <v>1212059.54</v>
      </c>
      <c r="P5" s="119">
        <v>1212059.54</v>
      </c>
      <c r="Q5" s="120">
        <f>'10098'!H18</f>
        <v>1216485.5</v>
      </c>
      <c r="R5" s="120">
        <v>0</v>
      </c>
      <c r="S5" s="129">
        <f t="shared" ref="S5:S35" si="0">SUM(Q5:R5)</f>
        <v>1216485.5</v>
      </c>
      <c r="T5" s="126">
        <v>0</v>
      </c>
      <c r="U5" s="176">
        <v>0</v>
      </c>
      <c r="V5" s="180" t="str">
        <f t="shared" ref="V5:V34" si="1">IF(S5=0,"no",IF(S5="","no","yes"))</f>
        <v>yes</v>
      </c>
      <c r="W5" s="180" t="str">
        <f>IF(T5=0,"no",IF(T5="","no","yes"))</f>
        <v>no</v>
      </c>
      <c r="X5" s="180" t="str">
        <f t="shared" ref="X5:X33" si="2">IF(U5=0,"no",IF(U5="","no","yes"))</f>
        <v>no</v>
      </c>
      <c r="Y5" s="103" t="s">
        <v>320</v>
      </c>
    </row>
    <row r="6" spans="1:25" s="102" customFormat="1" x14ac:dyDescent="0.4">
      <c r="A6" s="105">
        <v>3</v>
      </c>
      <c r="B6" s="103" t="s">
        <v>89</v>
      </c>
      <c r="C6" s="103">
        <v>10146</v>
      </c>
      <c r="D6" s="103">
        <v>4418</v>
      </c>
      <c r="E6" s="103" t="s">
        <v>180</v>
      </c>
      <c r="F6" s="103" t="s">
        <v>181</v>
      </c>
      <c r="G6" s="104" t="str">
        <f>VLOOKUP(F6,lookup!B:C,2,FALSE)</f>
        <v>Nursing</v>
      </c>
      <c r="H6" s="103" t="s">
        <v>175</v>
      </c>
      <c r="I6" s="103" t="s">
        <v>306</v>
      </c>
      <c r="J6" s="103" t="s">
        <v>100</v>
      </c>
      <c r="K6" s="103" t="s">
        <v>159</v>
      </c>
      <c r="L6" s="118"/>
      <c r="M6" s="119">
        <v>62100</v>
      </c>
      <c r="N6" s="119">
        <v>62100</v>
      </c>
      <c r="O6" s="119">
        <v>62100</v>
      </c>
      <c r="P6" s="119">
        <v>62100</v>
      </c>
      <c r="Q6" s="120">
        <f>'10146'!H18</f>
        <v>4900</v>
      </c>
      <c r="R6" s="120">
        <v>0</v>
      </c>
      <c r="S6" s="129">
        <f t="shared" si="0"/>
        <v>4900</v>
      </c>
      <c r="T6" s="126" t="s">
        <v>222</v>
      </c>
      <c r="U6" s="176" t="s">
        <v>222</v>
      </c>
      <c r="V6" s="180" t="str">
        <f t="shared" si="1"/>
        <v>yes</v>
      </c>
      <c r="W6" s="180" t="str">
        <f>IF(T6=0,"no",IF(T6="","no","yes"))</f>
        <v>yes</v>
      </c>
      <c r="X6" s="180" t="str">
        <f t="shared" si="2"/>
        <v>yes</v>
      </c>
      <c r="Y6" s="103" t="s">
        <v>321</v>
      </c>
    </row>
    <row r="7" spans="1:25" s="102" customFormat="1" x14ac:dyDescent="0.4">
      <c r="A7" s="105">
        <v>4</v>
      </c>
      <c r="B7" s="103" t="s">
        <v>89</v>
      </c>
      <c r="C7" s="103">
        <v>20179</v>
      </c>
      <c r="D7" s="103">
        <v>36015</v>
      </c>
      <c r="E7" s="103" t="s">
        <v>104</v>
      </c>
      <c r="F7" s="103" t="s">
        <v>157</v>
      </c>
      <c r="G7" s="104" t="str">
        <f>VLOOKUP(F7,lookup!B:C,2,FALSE)</f>
        <v>Law</v>
      </c>
      <c r="H7" s="103" t="s">
        <v>115</v>
      </c>
      <c r="I7" s="103" t="s">
        <v>307</v>
      </c>
      <c r="J7" s="103" t="s">
        <v>357</v>
      </c>
      <c r="K7" s="103" t="s">
        <v>158</v>
      </c>
      <c r="L7" s="118">
        <v>1445389</v>
      </c>
      <c r="M7" s="119">
        <v>1445389</v>
      </c>
      <c r="N7" s="119">
        <v>1352423.14</v>
      </c>
      <c r="O7" s="119">
        <v>1352423.14</v>
      </c>
      <c r="P7" s="119">
        <v>1352423.14</v>
      </c>
      <c r="Q7" s="120">
        <f>'20179'!H18</f>
        <v>722694.5</v>
      </c>
      <c r="R7" s="120">
        <v>0</v>
      </c>
      <c r="S7" s="129">
        <f t="shared" si="0"/>
        <v>722694.5</v>
      </c>
      <c r="T7" s="126">
        <v>0</v>
      </c>
      <c r="U7" s="176">
        <v>0</v>
      </c>
      <c r="V7" s="180" t="str">
        <f t="shared" si="1"/>
        <v>yes</v>
      </c>
      <c r="W7" s="180" t="str">
        <f t="shared" ref="W7:W34" si="3">IF(T7=0,"no",IF(T7="","no","yes"))</f>
        <v>no</v>
      </c>
      <c r="X7" s="180" t="str">
        <f t="shared" si="2"/>
        <v>no</v>
      </c>
      <c r="Y7" s="103" t="s">
        <v>322</v>
      </c>
    </row>
    <row r="8" spans="1:25" s="102" customFormat="1" x14ac:dyDescent="0.4">
      <c r="A8" s="105">
        <v>5</v>
      </c>
      <c r="B8" s="103" t="s">
        <v>89</v>
      </c>
      <c r="C8" s="103">
        <v>20336</v>
      </c>
      <c r="D8" s="103">
        <v>20075</v>
      </c>
      <c r="E8" s="103" t="s">
        <v>102</v>
      </c>
      <c r="F8" s="103" t="s">
        <v>12</v>
      </c>
      <c r="G8" s="104" t="str">
        <f>VLOOKUP(F8,lookup!B:C,2,FALSE)</f>
        <v>Blair</v>
      </c>
      <c r="H8" s="103" t="s">
        <v>153</v>
      </c>
      <c r="I8" s="103" t="s">
        <v>192</v>
      </c>
      <c r="J8" s="103" t="s">
        <v>101</v>
      </c>
      <c r="K8" s="103" t="s">
        <v>152</v>
      </c>
      <c r="L8" s="118">
        <v>327890</v>
      </c>
      <c r="M8" s="119">
        <v>327890</v>
      </c>
      <c r="N8" s="119">
        <v>280600</v>
      </c>
      <c r="O8" s="119">
        <v>280600</v>
      </c>
      <c r="P8" s="119">
        <v>89125</v>
      </c>
      <c r="Q8" s="120">
        <f>'20336'!H18</f>
        <v>327890</v>
      </c>
      <c r="R8" s="120">
        <v>0</v>
      </c>
      <c r="S8" s="129">
        <f t="shared" si="0"/>
        <v>327890</v>
      </c>
      <c r="T8" s="126">
        <v>0</v>
      </c>
      <c r="U8" s="176">
        <v>0</v>
      </c>
      <c r="V8" s="180" t="str">
        <f t="shared" si="1"/>
        <v>yes</v>
      </c>
      <c r="W8" s="180" t="str">
        <f t="shared" si="3"/>
        <v>no</v>
      </c>
      <c r="X8" s="180" t="str">
        <f t="shared" si="2"/>
        <v>no</v>
      </c>
      <c r="Y8" s="103" t="s">
        <v>323</v>
      </c>
    </row>
    <row r="9" spans="1:25" s="102" customFormat="1" x14ac:dyDescent="0.4">
      <c r="A9" s="105">
        <v>6</v>
      </c>
      <c r="B9" s="103" t="s">
        <v>89</v>
      </c>
      <c r="C9" s="103">
        <v>20431</v>
      </c>
      <c r="D9" s="103">
        <v>8084</v>
      </c>
      <c r="E9" s="103" t="s">
        <v>103</v>
      </c>
      <c r="F9" s="103" t="s">
        <v>14</v>
      </c>
      <c r="G9" s="104" t="str">
        <f>VLOOKUP(F9,lookup!B:C,2,FALSE)</f>
        <v>Divinity</v>
      </c>
      <c r="H9" s="103" t="s">
        <v>155</v>
      </c>
      <c r="I9" s="103" t="s">
        <v>308</v>
      </c>
      <c r="J9" s="103" t="s">
        <v>101</v>
      </c>
      <c r="K9" s="103" t="s">
        <v>154</v>
      </c>
      <c r="L9" s="118">
        <v>4375000</v>
      </c>
      <c r="M9" s="119">
        <v>139640</v>
      </c>
      <c r="N9" s="119">
        <v>126225</v>
      </c>
      <c r="O9" s="119">
        <v>126225</v>
      </c>
      <c r="P9" s="119">
        <v>82281.22</v>
      </c>
      <c r="Q9" s="120">
        <f>'20431'!H18</f>
        <v>69862.5</v>
      </c>
      <c r="R9" s="120">
        <v>0</v>
      </c>
      <c r="S9" s="129">
        <f t="shared" si="0"/>
        <v>69862.5</v>
      </c>
      <c r="T9" s="126">
        <v>4000000</v>
      </c>
      <c r="U9" s="176">
        <v>0</v>
      </c>
      <c r="V9" s="180" t="str">
        <f t="shared" si="1"/>
        <v>yes</v>
      </c>
      <c r="W9" s="180" t="str">
        <f>IF(T9=0,"no",IF(T9="","no","yes"))</f>
        <v>yes</v>
      </c>
      <c r="X9" s="180" t="str">
        <f t="shared" si="2"/>
        <v>no</v>
      </c>
      <c r="Y9" s="103" t="s">
        <v>324</v>
      </c>
    </row>
    <row r="10" spans="1:25" s="102" customFormat="1" x14ac:dyDescent="0.4">
      <c r="A10" s="105">
        <v>7</v>
      </c>
      <c r="B10" s="103" t="s">
        <v>89</v>
      </c>
      <c r="C10" s="103">
        <v>20478</v>
      </c>
      <c r="D10" s="103">
        <v>8672</v>
      </c>
      <c r="E10" s="103" t="s">
        <v>243</v>
      </c>
      <c r="F10" s="103" t="s">
        <v>10</v>
      </c>
      <c r="G10" s="104" t="str">
        <f>VLOOKUP(F10,lookup!B:C,2,FALSE)</f>
        <v>Arts &amp; Science</v>
      </c>
      <c r="H10" s="103" t="s">
        <v>254</v>
      </c>
      <c r="I10" s="103" t="s">
        <v>244</v>
      </c>
      <c r="J10" s="103" t="s">
        <v>230</v>
      </c>
      <c r="K10" s="103" t="s">
        <v>245</v>
      </c>
      <c r="L10" s="118">
        <v>2910000</v>
      </c>
      <c r="M10" s="119">
        <v>2790000</v>
      </c>
      <c r="N10" s="119">
        <v>120500</v>
      </c>
      <c r="O10" s="119">
        <v>1825148</v>
      </c>
      <c r="P10" s="119">
        <v>69750</v>
      </c>
      <c r="Q10" s="120">
        <f>'20478'!H9+'20478'!H11</f>
        <v>81100</v>
      </c>
      <c r="R10" s="120">
        <v>0</v>
      </c>
      <c r="S10" s="129">
        <f t="shared" si="0"/>
        <v>81100</v>
      </c>
      <c r="T10" s="126">
        <f>'20478'!H13</f>
        <v>1028900</v>
      </c>
      <c r="U10" s="176">
        <v>0</v>
      </c>
      <c r="V10" s="180" t="str">
        <f t="shared" si="1"/>
        <v>yes</v>
      </c>
      <c r="W10" s="180" t="str">
        <f t="shared" si="3"/>
        <v>yes</v>
      </c>
      <c r="X10" s="180" t="str">
        <f t="shared" si="2"/>
        <v>no</v>
      </c>
      <c r="Y10" s="103" t="s">
        <v>312</v>
      </c>
    </row>
    <row r="11" spans="1:25" s="102" customFormat="1" x14ac:dyDescent="0.4">
      <c r="A11" s="105">
        <v>8</v>
      </c>
      <c r="B11" s="103" t="s">
        <v>89</v>
      </c>
      <c r="C11" s="103">
        <v>20489</v>
      </c>
      <c r="D11" s="103">
        <v>8051</v>
      </c>
      <c r="E11" s="103" t="s">
        <v>246</v>
      </c>
      <c r="F11" s="103" t="s">
        <v>14</v>
      </c>
      <c r="G11" s="104" t="str">
        <f>VLOOKUP(F11,lookup!B:C,2,FALSE)</f>
        <v>Divinity</v>
      </c>
      <c r="H11" s="103" t="s">
        <v>155</v>
      </c>
      <c r="I11" s="103" t="s">
        <v>309</v>
      </c>
      <c r="J11" s="103" t="s">
        <v>100</v>
      </c>
      <c r="K11" s="103" t="s">
        <v>154</v>
      </c>
      <c r="L11" s="118">
        <v>3726000</v>
      </c>
      <c r="M11" s="119">
        <v>26500</v>
      </c>
      <c r="N11" s="119">
        <v>15895</v>
      </c>
      <c r="O11" s="119">
        <v>15895</v>
      </c>
      <c r="P11" s="119">
        <v>1222.5</v>
      </c>
      <c r="Q11" s="120">
        <f>'20489'!H18</f>
        <v>26500</v>
      </c>
      <c r="R11" s="120">
        <v>0</v>
      </c>
      <c r="S11" s="129">
        <f t="shared" si="0"/>
        <v>26500</v>
      </c>
      <c r="T11" s="126">
        <v>0</v>
      </c>
      <c r="U11" s="176" t="s">
        <v>222</v>
      </c>
      <c r="V11" s="180" t="str">
        <f t="shared" si="1"/>
        <v>yes</v>
      </c>
      <c r="W11" s="180" t="str">
        <f t="shared" si="3"/>
        <v>no</v>
      </c>
      <c r="X11" s="180" t="str">
        <f t="shared" si="2"/>
        <v>yes</v>
      </c>
      <c r="Y11" s="103" t="s">
        <v>325</v>
      </c>
    </row>
    <row r="12" spans="1:25" s="102" customFormat="1" x14ac:dyDescent="0.4">
      <c r="A12" s="105">
        <v>9</v>
      </c>
      <c r="B12" s="103" t="s">
        <v>89</v>
      </c>
      <c r="C12" s="103">
        <v>20497</v>
      </c>
      <c r="D12" s="103">
        <v>529</v>
      </c>
      <c r="E12" s="103" t="s">
        <v>106</v>
      </c>
      <c r="F12" s="103" t="s">
        <v>28</v>
      </c>
      <c r="G12" s="104" t="str">
        <f>VLOOKUP(F12,lookup!B:C,2,FALSE)</f>
        <v>Peabody</v>
      </c>
      <c r="H12" s="103" t="s">
        <v>156</v>
      </c>
      <c r="I12" s="103" t="s">
        <v>105</v>
      </c>
      <c r="J12" s="103" t="s">
        <v>101</v>
      </c>
      <c r="K12" s="103" t="s">
        <v>152</v>
      </c>
      <c r="L12" s="118">
        <v>456850</v>
      </c>
      <c r="M12" s="119">
        <v>456850</v>
      </c>
      <c r="N12" s="119">
        <v>412000</v>
      </c>
      <c r="O12" s="119">
        <v>412000</v>
      </c>
      <c r="P12" s="119">
        <v>407000</v>
      </c>
      <c r="Q12" s="120">
        <f>'20497'!H18</f>
        <v>79415.5</v>
      </c>
      <c r="R12" s="120">
        <v>0</v>
      </c>
      <c r="S12" s="129">
        <f t="shared" si="0"/>
        <v>79415.5</v>
      </c>
      <c r="T12" s="126">
        <v>0</v>
      </c>
      <c r="U12" s="176">
        <v>0</v>
      </c>
      <c r="V12" s="180" t="str">
        <f t="shared" si="1"/>
        <v>yes</v>
      </c>
      <c r="W12" s="180" t="str">
        <f t="shared" si="3"/>
        <v>no</v>
      </c>
      <c r="X12" s="180" t="str">
        <f t="shared" si="2"/>
        <v>no</v>
      </c>
      <c r="Y12" s="103" t="s">
        <v>326</v>
      </c>
    </row>
    <row r="13" spans="1:25" s="102" customFormat="1" x14ac:dyDescent="0.4">
      <c r="A13" s="105">
        <v>10</v>
      </c>
      <c r="B13" s="103" t="s">
        <v>89</v>
      </c>
      <c r="C13" s="103">
        <v>20506</v>
      </c>
      <c r="D13" s="103">
        <v>1170</v>
      </c>
      <c r="E13" s="103" t="s">
        <v>278</v>
      </c>
      <c r="F13" s="103" t="s">
        <v>28</v>
      </c>
      <c r="G13" s="104" t="str">
        <f>VLOOKUP(F13,lookup!B:C,2,FALSE)</f>
        <v>Peabody</v>
      </c>
      <c r="H13" s="103" t="s">
        <v>163</v>
      </c>
      <c r="I13" s="103" t="s">
        <v>250</v>
      </c>
      <c r="J13" s="103" t="s">
        <v>101</v>
      </c>
      <c r="K13" s="103" t="s">
        <v>152</v>
      </c>
      <c r="L13" s="118">
        <v>344155.26</v>
      </c>
      <c r="M13" s="119">
        <v>344155.26</v>
      </c>
      <c r="N13" s="119">
        <v>307776.26</v>
      </c>
      <c r="O13" s="119">
        <v>307776.26</v>
      </c>
      <c r="P13" s="119">
        <v>0</v>
      </c>
      <c r="Q13" s="120">
        <f>'20506'!H18</f>
        <v>344155.26</v>
      </c>
      <c r="R13" s="120">
        <v>0</v>
      </c>
      <c r="S13" s="129">
        <f t="shared" si="0"/>
        <v>344155.26</v>
      </c>
      <c r="T13" s="126">
        <v>0</v>
      </c>
      <c r="U13" s="176">
        <v>0</v>
      </c>
      <c r="V13" s="180" t="str">
        <f t="shared" si="1"/>
        <v>yes</v>
      </c>
      <c r="W13" s="180" t="str">
        <f t="shared" si="3"/>
        <v>no</v>
      </c>
      <c r="X13" s="180" t="str">
        <f t="shared" si="2"/>
        <v>no</v>
      </c>
      <c r="Y13" s="103" t="s">
        <v>327</v>
      </c>
    </row>
    <row r="14" spans="1:25" s="102" customFormat="1" x14ac:dyDescent="0.4">
      <c r="A14" s="105">
        <v>11</v>
      </c>
      <c r="B14" s="103" t="s">
        <v>89</v>
      </c>
      <c r="C14" s="103">
        <v>20562</v>
      </c>
      <c r="D14" s="103">
        <v>4564</v>
      </c>
      <c r="E14" s="103" t="s">
        <v>235</v>
      </c>
      <c r="F14" s="103" t="s">
        <v>28</v>
      </c>
      <c r="G14" s="104" t="str">
        <f>VLOOKUP(F14,lookup!B:C,2,FALSE)</f>
        <v>Peabody</v>
      </c>
      <c r="H14" s="103" t="s">
        <v>163</v>
      </c>
      <c r="I14" s="103" t="s">
        <v>107</v>
      </c>
      <c r="J14" s="103" t="s">
        <v>101</v>
      </c>
      <c r="K14" s="103" t="s">
        <v>159</v>
      </c>
      <c r="L14" s="118">
        <v>400000</v>
      </c>
      <c r="M14" s="119">
        <v>405791</v>
      </c>
      <c r="N14" s="119">
        <v>362559.64</v>
      </c>
      <c r="O14" s="119">
        <v>362559.64</v>
      </c>
      <c r="P14" s="119">
        <v>75970</v>
      </c>
      <c r="Q14" s="120">
        <f>'20562'!H18</f>
        <v>405791</v>
      </c>
      <c r="R14" s="120">
        <v>0</v>
      </c>
      <c r="S14" s="129">
        <f t="shared" si="0"/>
        <v>405791</v>
      </c>
      <c r="T14" s="126">
        <v>0</v>
      </c>
      <c r="U14" s="176">
        <v>0</v>
      </c>
      <c r="V14" s="180" t="str">
        <f t="shared" si="1"/>
        <v>yes</v>
      </c>
      <c r="W14" s="180" t="str">
        <f t="shared" si="3"/>
        <v>no</v>
      </c>
      <c r="X14" s="180" t="str">
        <f t="shared" si="2"/>
        <v>no</v>
      </c>
      <c r="Y14" s="103" t="s">
        <v>328</v>
      </c>
    </row>
    <row r="15" spans="1:25" s="102" customFormat="1" x14ac:dyDescent="0.4">
      <c r="A15" s="105">
        <v>12</v>
      </c>
      <c r="B15" s="103" t="s">
        <v>222</v>
      </c>
      <c r="C15" s="103">
        <v>20563</v>
      </c>
      <c r="D15" s="103">
        <v>4624</v>
      </c>
      <c r="E15" s="103"/>
      <c r="F15" s="103" t="s">
        <v>15</v>
      </c>
      <c r="G15" s="104" t="str">
        <f>VLOOKUP(F15,lookup!B:C,2,FALSE)</f>
        <v>Engineering</v>
      </c>
      <c r="H15" s="103" t="s">
        <v>164</v>
      </c>
      <c r="I15" s="103" t="s">
        <v>297</v>
      </c>
      <c r="J15" s="103" t="s">
        <v>285</v>
      </c>
      <c r="K15" s="103" t="s">
        <v>152</v>
      </c>
      <c r="L15" s="118">
        <v>386000</v>
      </c>
      <c r="M15" s="119">
        <v>0</v>
      </c>
      <c r="N15" s="119">
        <v>0</v>
      </c>
      <c r="O15" s="119">
        <v>0</v>
      </c>
      <c r="P15" s="119">
        <v>0</v>
      </c>
      <c r="Q15" s="120">
        <v>0</v>
      </c>
      <c r="R15" s="120">
        <v>0</v>
      </c>
      <c r="S15" s="129">
        <f t="shared" si="0"/>
        <v>0</v>
      </c>
      <c r="T15" s="126">
        <v>0</v>
      </c>
      <c r="U15" s="176" t="s">
        <v>222</v>
      </c>
      <c r="V15" s="180" t="str">
        <f t="shared" si="1"/>
        <v>no</v>
      </c>
      <c r="W15" s="180" t="str">
        <f t="shared" si="3"/>
        <v>no</v>
      </c>
      <c r="X15" s="180" t="str">
        <f t="shared" si="2"/>
        <v>yes</v>
      </c>
      <c r="Y15" s="103" t="s">
        <v>298</v>
      </c>
    </row>
    <row r="16" spans="1:25" s="102" customFormat="1" x14ac:dyDescent="0.4">
      <c r="A16" s="105">
        <v>13</v>
      </c>
      <c r="B16" s="103" t="s">
        <v>89</v>
      </c>
      <c r="C16" s="103">
        <v>20566</v>
      </c>
      <c r="D16" s="103">
        <v>20054</v>
      </c>
      <c r="E16" s="103" t="s">
        <v>161</v>
      </c>
      <c r="F16" s="103" t="s">
        <v>10</v>
      </c>
      <c r="G16" s="104" t="str">
        <f>VLOOKUP(F16,lookup!B:C,2,FALSE)</f>
        <v>Arts &amp; Science</v>
      </c>
      <c r="H16" s="103" t="s">
        <v>162</v>
      </c>
      <c r="I16" s="103" t="s">
        <v>188</v>
      </c>
      <c r="J16" s="103" t="s">
        <v>101</v>
      </c>
      <c r="K16" s="103" t="s">
        <v>152</v>
      </c>
      <c r="L16" s="118">
        <v>781870</v>
      </c>
      <c r="M16" s="119">
        <v>781870</v>
      </c>
      <c r="N16" s="119">
        <v>709050</v>
      </c>
      <c r="O16" s="119">
        <v>709050</v>
      </c>
      <c r="P16" s="119">
        <v>217250</v>
      </c>
      <c r="Q16" s="120">
        <f>'20566'!H18</f>
        <v>781870</v>
      </c>
      <c r="R16" s="120">
        <v>0</v>
      </c>
      <c r="S16" s="129">
        <f t="shared" si="0"/>
        <v>781870</v>
      </c>
      <c r="T16" s="126">
        <v>0</v>
      </c>
      <c r="U16" s="176">
        <v>0</v>
      </c>
      <c r="V16" s="180" t="str">
        <f t="shared" si="1"/>
        <v>yes</v>
      </c>
      <c r="W16" s="180" t="str">
        <f t="shared" si="3"/>
        <v>no</v>
      </c>
      <c r="X16" s="180" t="str">
        <f t="shared" si="2"/>
        <v>no</v>
      </c>
      <c r="Y16" s="103" t="s">
        <v>329</v>
      </c>
    </row>
    <row r="17" spans="1:25" s="102" customFormat="1" x14ac:dyDescent="0.4">
      <c r="A17" s="105">
        <v>14</v>
      </c>
      <c r="B17" s="103" t="s">
        <v>89</v>
      </c>
      <c r="C17" s="103">
        <v>20573</v>
      </c>
      <c r="D17" s="103">
        <v>8047</v>
      </c>
      <c r="E17" s="103" t="s">
        <v>247</v>
      </c>
      <c r="F17" s="103" t="s">
        <v>28</v>
      </c>
      <c r="G17" s="104" t="str">
        <f>VLOOKUP(F17,lookup!B:C,2,FALSE)</f>
        <v>Peabody</v>
      </c>
      <c r="H17" s="103" t="s">
        <v>163</v>
      </c>
      <c r="I17" s="103" t="s">
        <v>189</v>
      </c>
      <c r="J17" s="103" t="s">
        <v>101</v>
      </c>
      <c r="K17" s="103" t="s">
        <v>152</v>
      </c>
      <c r="L17" s="118">
        <v>1232681</v>
      </c>
      <c r="M17" s="119">
        <v>1232681</v>
      </c>
      <c r="N17" s="119">
        <v>1113460</v>
      </c>
      <c r="O17" s="119">
        <v>1113460</v>
      </c>
      <c r="P17" s="119">
        <v>0</v>
      </c>
      <c r="Q17" s="120">
        <f>'20573'!H18</f>
        <v>1232681</v>
      </c>
      <c r="R17" s="120">
        <v>0</v>
      </c>
      <c r="S17" s="129">
        <f t="shared" si="0"/>
        <v>1232681</v>
      </c>
      <c r="T17" s="126">
        <v>0</v>
      </c>
      <c r="U17" s="176">
        <v>0</v>
      </c>
      <c r="V17" s="180" t="str">
        <f t="shared" si="1"/>
        <v>yes</v>
      </c>
      <c r="W17" s="180" t="str">
        <f t="shared" si="3"/>
        <v>no</v>
      </c>
      <c r="X17" s="180" t="str">
        <f t="shared" si="2"/>
        <v>no</v>
      </c>
      <c r="Y17" s="103" t="s">
        <v>330</v>
      </c>
    </row>
    <row r="18" spans="1:25" s="102" customFormat="1" x14ac:dyDescent="0.4">
      <c r="A18" s="105">
        <v>15</v>
      </c>
      <c r="B18" s="103" t="s">
        <v>89</v>
      </c>
      <c r="C18" s="103">
        <v>20574</v>
      </c>
      <c r="D18" s="103">
        <v>8145</v>
      </c>
      <c r="E18" s="103" t="s">
        <v>223</v>
      </c>
      <c r="F18" s="103" t="s">
        <v>21</v>
      </c>
      <c r="G18" s="104" t="str">
        <f>VLOOKUP(F18,lookup!B:C,2,FALSE)</f>
        <v>SOM Basic Sciences</v>
      </c>
      <c r="H18" s="103" t="s">
        <v>150</v>
      </c>
      <c r="I18" s="103" t="s">
        <v>190</v>
      </c>
      <c r="J18" s="103" t="s">
        <v>101</v>
      </c>
      <c r="K18" s="103" t="s">
        <v>159</v>
      </c>
      <c r="L18" s="118">
        <v>218202</v>
      </c>
      <c r="M18" s="119">
        <v>218202</v>
      </c>
      <c r="N18" s="119">
        <v>195665</v>
      </c>
      <c r="O18" s="119">
        <v>195665</v>
      </c>
      <c r="P18" s="119">
        <v>42360</v>
      </c>
      <c r="Q18" s="120">
        <f>'20574'!H18</f>
        <v>218202</v>
      </c>
      <c r="R18" s="120">
        <v>0</v>
      </c>
      <c r="S18" s="129">
        <f t="shared" si="0"/>
        <v>218202</v>
      </c>
      <c r="T18" s="126">
        <v>0</v>
      </c>
      <c r="U18" s="176">
        <v>0</v>
      </c>
      <c r="V18" s="180" t="str">
        <f t="shared" si="1"/>
        <v>yes</v>
      </c>
      <c r="W18" s="180" t="str">
        <f t="shared" si="3"/>
        <v>no</v>
      </c>
      <c r="X18" s="180" t="str">
        <f t="shared" si="2"/>
        <v>no</v>
      </c>
      <c r="Y18" s="103" t="s">
        <v>331</v>
      </c>
    </row>
    <row r="19" spans="1:25" s="102" customFormat="1" x14ac:dyDescent="0.4">
      <c r="A19" s="105">
        <v>16</v>
      </c>
      <c r="B19" s="103" t="s">
        <v>89</v>
      </c>
      <c r="C19" s="103">
        <v>20577</v>
      </c>
      <c r="D19" s="103">
        <v>8146</v>
      </c>
      <c r="E19" s="103" t="s">
        <v>168</v>
      </c>
      <c r="F19" s="103" t="s">
        <v>12</v>
      </c>
      <c r="G19" s="104" t="str">
        <f>VLOOKUP(F19,lookup!B:C,2,FALSE)</f>
        <v>Blair</v>
      </c>
      <c r="H19" s="103" t="s">
        <v>153</v>
      </c>
      <c r="I19" s="103" t="s">
        <v>191</v>
      </c>
      <c r="J19" s="103" t="s">
        <v>100</v>
      </c>
      <c r="K19" s="103" t="s">
        <v>154</v>
      </c>
      <c r="L19" s="118">
        <v>4500000</v>
      </c>
      <c r="M19" s="119">
        <v>223000</v>
      </c>
      <c r="N19" s="119">
        <v>220566.21</v>
      </c>
      <c r="O19" s="119">
        <v>220566.21</v>
      </c>
      <c r="P19" s="119">
        <v>168841.21</v>
      </c>
      <c r="Q19" s="120">
        <f>'20577'!H18</f>
        <v>223000</v>
      </c>
      <c r="R19" s="120">
        <v>0</v>
      </c>
      <c r="S19" s="129">
        <f t="shared" si="0"/>
        <v>223000</v>
      </c>
      <c r="T19" s="126">
        <v>0</v>
      </c>
      <c r="U19" s="176" t="s">
        <v>222</v>
      </c>
      <c r="V19" s="180" t="str">
        <f t="shared" si="1"/>
        <v>yes</v>
      </c>
      <c r="W19" s="180" t="str">
        <f t="shared" si="3"/>
        <v>no</v>
      </c>
      <c r="X19" s="180" t="str">
        <f>IF(U19=0,"no",IF(U19="","no","yes"))</f>
        <v>yes</v>
      </c>
      <c r="Y19" s="103" t="s">
        <v>347</v>
      </c>
    </row>
    <row r="20" spans="1:25" s="102" customFormat="1" x14ac:dyDescent="0.4">
      <c r="A20" s="105">
        <v>17</v>
      </c>
      <c r="B20" s="103" t="s">
        <v>89</v>
      </c>
      <c r="C20" s="103">
        <v>20644</v>
      </c>
      <c r="D20" s="103">
        <v>8241</v>
      </c>
      <c r="E20" s="103" t="s">
        <v>226</v>
      </c>
      <c r="F20" s="103" t="s">
        <v>28</v>
      </c>
      <c r="G20" s="104" t="str">
        <f>VLOOKUP(F20,lookup!B:C,2,FALSE)</f>
        <v>Peabody</v>
      </c>
      <c r="H20" s="103" t="s">
        <v>160</v>
      </c>
      <c r="I20" s="103" t="s">
        <v>318</v>
      </c>
      <c r="J20" s="103" t="s">
        <v>101</v>
      </c>
      <c r="K20" s="103" t="s">
        <v>152</v>
      </c>
      <c r="L20" s="118">
        <v>630554</v>
      </c>
      <c r="M20" s="119">
        <v>630554</v>
      </c>
      <c r="N20" s="119">
        <v>570996</v>
      </c>
      <c r="O20" s="119">
        <v>570996</v>
      </c>
      <c r="P20" s="119">
        <v>175193.4</v>
      </c>
      <c r="Q20" s="120">
        <f>'20644'!H18</f>
        <v>630554</v>
      </c>
      <c r="R20" s="120">
        <v>0</v>
      </c>
      <c r="S20" s="129">
        <f t="shared" si="0"/>
        <v>630554</v>
      </c>
      <c r="T20" s="126">
        <v>0</v>
      </c>
      <c r="U20" s="176">
        <v>0</v>
      </c>
      <c r="V20" s="180" t="str">
        <f t="shared" si="1"/>
        <v>yes</v>
      </c>
      <c r="W20" s="180" t="str">
        <f t="shared" si="3"/>
        <v>no</v>
      </c>
      <c r="X20" s="180" t="str">
        <f t="shared" si="2"/>
        <v>no</v>
      </c>
      <c r="Y20" s="103" t="s">
        <v>332</v>
      </c>
    </row>
    <row r="21" spans="1:25" s="102" customFormat="1" x14ac:dyDescent="0.4">
      <c r="A21" s="105">
        <v>18</v>
      </c>
      <c r="B21" s="103" t="s">
        <v>90</v>
      </c>
      <c r="C21" s="103">
        <v>20645</v>
      </c>
      <c r="D21" s="103">
        <v>8239</v>
      </c>
      <c r="E21" s="103"/>
      <c r="F21" s="103" t="s">
        <v>10</v>
      </c>
      <c r="G21" s="104" t="str">
        <f>VLOOKUP(F21,lookup!B:C,2,FALSE)</f>
        <v>Arts &amp; Science</v>
      </c>
      <c r="H21" s="103" t="s">
        <v>151</v>
      </c>
      <c r="I21" s="103" t="s">
        <v>111</v>
      </c>
      <c r="J21" s="103" t="s">
        <v>182</v>
      </c>
      <c r="K21" s="103" t="s">
        <v>152</v>
      </c>
      <c r="L21" s="118">
        <f>M21</f>
        <v>125875</v>
      </c>
      <c r="M21" s="119">
        <v>125875</v>
      </c>
      <c r="N21" s="119">
        <v>0</v>
      </c>
      <c r="O21" s="119">
        <v>112250</v>
      </c>
      <c r="P21" s="119">
        <v>0</v>
      </c>
      <c r="Q21" s="120">
        <f>'20645'!H18</f>
        <v>125875</v>
      </c>
      <c r="R21" s="120">
        <v>0</v>
      </c>
      <c r="S21" s="129">
        <f t="shared" si="0"/>
        <v>125875</v>
      </c>
      <c r="T21" s="126">
        <v>0</v>
      </c>
      <c r="U21" s="176">
        <v>0</v>
      </c>
      <c r="V21" s="180" t="str">
        <f>IF(S21=0,"no",IF(S21="","no","yes"))</f>
        <v>yes</v>
      </c>
      <c r="W21" s="180" t="str">
        <f>IF(T21=0,"no",IF(T21="","no","yes"))</f>
        <v>no</v>
      </c>
      <c r="X21" s="180" t="str">
        <f>IF(U21=0,"no",IF(U21="","no","yes"))</f>
        <v>no</v>
      </c>
      <c r="Y21" s="103" t="s">
        <v>333</v>
      </c>
    </row>
    <row r="22" spans="1:25" s="102" customFormat="1" x14ac:dyDescent="0.4">
      <c r="A22" s="105">
        <v>19</v>
      </c>
      <c r="B22" s="103" t="s">
        <v>89</v>
      </c>
      <c r="C22" s="103">
        <v>20667</v>
      </c>
      <c r="D22" s="103">
        <v>8168</v>
      </c>
      <c r="E22" s="103" t="s">
        <v>177</v>
      </c>
      <c r="F22" s="103" t="s">
        <v>15</v>
      </c>
      <c r="G22" s="104" t="str">
        <f>VLOOKUP(F22,lookup!B:C,2,FALSE)</f>
        <v>Engineering</v>
      </c>
      <c r="H22" s="103" t="s">
        <v>166</v>
      </c>
      <c r="I22" s="103" t="s">
        <v>167</v>
      </c>
      <c r="J22" s="103" t="s">
        <v>100</v>
      </c>
      <c r="K22" s="103" t="s">
        <v>159</v>
      </c>
      <c r="L22" s="118">
        <f>M22</f>
        <v>146500</v>
      </c>
      <c r="M22" s="119">
        <v>146500</v>
      </c>
      <c r="N22" s="119">
        <v>146500</v>
      </c>
      <c r="O22" s="119">
        <v>146500</v>
      </c>
      <c r="P22" s="119">
        <v>0</v>
      </c>
      <c r="Q22" s="120">
        <f>'20667'!H18</f>
        <v>146500</v>
      </c>
      <c r="R22" s="120">
        <v>0</v>
      </c>
      <c r="S22" s="129">
        <f t="shared" si="0"/>
        <v>146500</v>
      </c>
      <c r="T22" s="126" t="s">
        <v>222</v>
      </c>
      <c r="U22" s="176">
        <v>0</v>
      </c>
      <c r="V22" s="180" t="str">
        <f t="shared" si="1"/>
        <v>yes</v>
      </c>
      <c r="W22" s="180" t="str">
        <f t="shared" si="3"/>
        <v>yes</v>
      </c>
      <c r="X22" s="180" t="str">
        <f t="shared" si="2"/>
        <v>no</v>
      </c>
      <c r="Y22" s="103" t="s">
        <v>334</v>
      </c>
    </row>
    <row r="23" spans="1:25" s="102" customFormat="1" x14ac:dyDescent="0.4">
      <c r="A23" s="105">
        <v>20</v>
      </c>
      <c r="B23" s="103" t="s">
        <v>89</v>
      </c>
      <c r="C23" s="103">
        <v>20668</v>
      </c>
      <c r="D23" s="103">
        <v>8151</v>
      </c>
      <c r="E23" s="103" t="s">
        <v>193</v>
      </c>
      <c r="F23" s="103" t="s">
        <v>15</v>
      </c>
      <c r="G23" s="104" t="str">
        <f>VLOOKUP(F23,lookup!B:C,2,FALSE)</f>
        <v>Engineering</v>
      </c>
      <c r="H23" s="103" t="s">
        <v>164</v>
      </c>
      <c r="I23" s="103" t="s">
        <v>165</v>
      </c>
      <c r="J23" s="103" t="s">
        <v>100</v>
      </c>
      <c r="K23" s="103" t="s">
        <v>159</v>
      </c>
      <c r="L23" s="118">
        <f>M23</f>
        <v>206500</v>
      </c>
      <c r="M23" s="119">
        <v>206500</v>
      </c>
      <c r="N23" s="119">
        <v>206500</v>
      </c>
      <c r="O23" s="119">
        <v>206500</v>
      </c>
      <c r="P23" s="119">
        <v>0</v>
      </c>
      <c r="Q23" s="120">
        <f>'20668'!H18</f>
        <v>206500</v>
      </c>
      <c r="R23" s="120">
        <v>0</v>
      </c>
      <c r="S23" s="129">
        <f t="shared" si="0"/>
        <v>206500</v>
      </c>
      <c r="T23" s="126" t="s">
        <v>222</v>
      </c>
      <c r="U23" s="176">
        <v>0</v>
      </c>
      <c r="V23" s="180" t="str">
        <f t="shared" si="1"/>
        <v>yes</v>
      </c>
      <c r="W23" s="180" t="str">
        <f t="shared" si="3"/>
        <v>yes</v>
      </c>
      <c r="X23" s="180" t="str">
        <f t="shared" si="2"/>
        <v>no</v>
      </c>
      <c r="Y23" s="103" t="s">
        <v>335</v>
      </c>
    </row>
    <row r="24" spans="1:25" s="102" customFormat="1" x14ac:dyDescent="0.4">
      <c r="A24" s="105">
        <v>21</v>
      </c>
      <c r="B24" s="103" t="s">
        <v>89</v>
      </c>
      <c r="C24" s="103">
        <v>20698</v>
      </c>
      <c r="D24" s="103">
        <v>1138</v>
      </c>
      <c r="E24" s="103" t="s">
        <v>219</v>
      </c>
      <c r="F24" s="103" t="s">
        <v>10</v>
      </c>
      <c r="G24" s="104" t="str">
        <f>VLOOKUP(F24,lookup!B:C,2,FALSE)</f>
        <v>Arts &amp; Science</v>
      </c>
      <c r="H24" s="103" t="s">
        <v>211</v>
      </c>
      <c r="I24" s="103" t="s">
        <v>224</v>
      </c>
      <c r="J24" s="103" t="s">
        <v>100</v>
      </c>
      <c r="K24" s="103" t="s">
        <v>159</v>
      </c>
      <c r="L24" s="118">
        <f>M24</f>
        <v>29250</v>
      </c>
      <c r="M24" s="119">
        <v>29250</v>
      </c>
      <c r="N24" s="119">
        <v>24950</v>
      </c>
      <c r="O24" s="119">
        <v>29250</v>
      </c>
      <c r="P24" s="119">
        <v>21207.5</v>
      </c>
      <c r="Q24" s="120">
        <f>'20698'!H18</f>
        <v>29250</v>
      </c>
      <c r="R24" s="120">
        <v>0</v>
      </c>
      <c r="S24" s="129">
        <f t="shared" si="0"/>
        <v>29250</v>
      </c>
      <c r="T24" s="126" t="s">
        <v>222</v>
      </c>
      <c r="U24" s="176">
        <v>0</v>
      </c>
      <c r="V24" s="180" t="str">
        <f t="shared" si="1"/>
        <v>yes</v>
      </c>
      <c r="W24" s="180" t="str">
        <f t="shared" si="3"/>
        <v>yes</v>
      </c>
      <c r="X24" s="180" t="str">
        <f t="shared" si="2"/>
        <v>no</v>
      </c>
      <c r="Y24" s="103" t="s">
        <v>336</v>
      </c>
    </row>
    <row r="25" spans="1:25" s="102" customFormat="1" x14ac:dyDescent="0.4">
      <c r="A25" s="105">
        <v>22</v>
      </c>
      <c r="B25" s="103" t="s">
        <v>90</v>
      </c>
      <c r="C25" s="103">
        <v>20700</v>
      </c>
      <c r="D25" s="103">
        <v>851</v>
      </c>
      <c r="E25" s="103"/>
      <c r="F25" s="103" t="s">
        <v>10</v>
      </c>
      <c r="G25" s="104" t="str">
        <f>VLOOKUP(F25,lookup!B:C,2,FALSE)</f>
        <v>Arts &amp; Science</v>
      </c>
      <c r="H25" s="103" t="s">
        <v>162</v>
      </c>
      <c r="I25" s="103" t="s">
        <v>251</v>
      </c>
      <c r="J25" s="103" t="s">
        <v>101</v>
      </c>
      <c r="K25" s="103" t="s">
        <v>159</v>
      </c>
      <c r="L25" s="118">
        <v>80000</v>
      </c>
      <c r="M25" s="119">
        <v>79623</v>
      </c>
      <c r="N25" s="119">
        <v>69954</v>
      </c>
      <c r="O25" s="119">
        <v>69954</v>
      </c>
      <c r="P25" s="119">
        <v>2500</v>
      </c>
      <c r="Q25" s="120">
        <f>'20700'!H18</f>
        <v>79623</v>
      </c>
      <c r="R25" s="120">
        <v>0</v>
      </c>
      <c r="S25" s="129">
        <f t="shared" si="0"/>
        <v>79623</v>
      </c>
      <c r="T25" s="126">
        <v>0</v>
      </c>
      <c r="U25" s="176">
        <v>0</v>
      </c>
      <c r="V25" s="180" t="str">
        <f t="shared" si="1"/>
        <v>yes</v>
      </c>
      <c r="W25" s="180" t="str">
        <f t="shared" si="3"/>
        <v>no</v>
      </c>
      <c r="X25" s="180" t="str">
        <f t="shared" si="2"/>
        <v>no</v>
      </c>
      <c r="Y25" s="103" t="s">
        <v>337</v>
      </c>
    </row>
    <row r="26" spans="1:25" s="102" customFormat="1" x14ac:dyDescent="0.4">
      <c r="A26" s="105">
        <v>23</v>
      </c>
      <c r="B26" s="103" t="s">
        <v>89</v>
      </c>
      <c r="C26" s="103">
        <v>20701</v>
      </c>
      <c r="D26" s="103">
        <v>4399</v>
      </c>
      <c r="E26" s="103" t="s">
        <v>296</v>
      </c>
      <c r="F26" s="103" t="s">
        <v>10</v>
      </c>
      <c r="G26" s="104" t="str">
        <f>VLOOKUP(F26,lookup!B:C,2,FALSE)</f>
        <v>Arts &amp; Science</v>
      </c>
      <c r="H26" s="103" t="s">
        <v>212</v>
      </c>
      <c r="I26" s="103" t="s">
        <v>319</v>
      </c>
      <c r="J26" s="103" t="s">
        <v>182</v>
      </c>
      <c r="K26" s="103" t="s">
        <v>159</v>
      </c>
      <c r="L26" s="118">
        <v>500000</v>
      </c>
      <c r="M26" s="119">
        <v>499093</v>
      </c>
      <c r="N26" s="119">
        <v>0</v>
      </c>
      <c r="O26" s="119">
        <v>0</v>
      </c>
      <c r="P26" s="119">
        <v>0</v>
      </c>
      <c r="Q26" s="120">
        <f>'20701'!H18</f>
        <v>499093</v>
      </c>
      <c r="R26" s="120">
        <v>0</v>
      </c>
      <c r="S26" s="129">
        <f t="shared" si="0"/>
        <v>499093</v>
      </c>
      <c r="T26" s="126">
        <v>0</v>
      </c>
      <c r="U26" s="176">
        <v>0</v>
      </c>
      <c r="V26" s="180" t="str">
        <f t="shared" si="1"/>
        <v>yes</v>
      </c>
      <c r="W26" s="180" t="str">
        <f t="shared" si="3"/>
        <v>no</v>
      </c>
      <c r="X26" s="180" t="str">
        <f t="shared" si="2"/>
        <v>no</v>
      </c>
      <c r="Y26" s="103" t="s">
        <v>338</v>
      </c>
    </row>
    <row r="27" spans="1:25" s="102" customFormat="1" x14ac:dyDescent="0.4">
      <c r="A27" s="105">
        <v>24</v>
      </c>
      <c r="B27" s="103" t="s">
        <v>89</v>
      </c>
      <c r="C27" s="103">
        <v>20702</v>
      </c>
      <c r="D27" s="103">
        <v>8432</v>
      </c>
      <c r="E27" s="103" t="s">
        <v>216</v>
      </c>
      <c r="F27" s="103" t="s">
        <v>28</v>
      </c>
      <c r="G27" s="104" t="str">
        <f>VLOOKUP(F27,lookup!B:C,2,FALSE)</f>
        <v>Peabody</v>
      </c>
      <c r="H27" s="103" t="s">
        <v>163</v>
      </c>
      <c r="I27" s="103" t="s">
        <v>217</v>
      </c>
      <c r="J27" s="103" t="s">
        <v>101</v>
      </c>
      <c r="K27" s="103" t="s">
        <v>152</v>
      </c>
      <c r="L27" s="118">
        <v>225791</v>
      </c>
      <c r="M27" s="119">
        <v>239341</v>
      </c>
      <c r="N27" s="119">
        <v>209419</v>
      </c>
      <c r="O27" s="119">
        <v>209419</v>
      </c>
      <c r="P27" s="119">
        <v>53751.49</v>
      </c>
      <c r="Q27" s="120">
        <f>'20702'!H18</f>
        <v>239341</v>
      </c>
      <c r="R27" s="120">
        <v>0</v>
      </c>
      <c r="S27" s="129">
        <f t="shared" si="0"/>
        <v>239341</v>
      </c>
      <c r="T27" s="126">
        <v>0</v>
      </c>
      <c r="U27" s="176">
        <v>0</v>
      </c>
      <c r="V27" s="180" t="str">
        <f t="shared" si="1"/>
        <v>yes</v>
      </c>
      <c r="W27" s="180" t="str">
        <f t="shared" si="3"/>
        <v>no</v>
      </c>
      <c r="X27" s="180" t="str">
        <f t="shared" si="2"/>
        <v>no</v>
      </c>
      <c r="Y27" s="103" t="s">
        <v>339</v>
      </c>
    </row>
    <row r="28" spans="1:25" s="102" customFormat="1" x14ac:dyDescent="0.4">
      <c r="A28" s="105">
        <v>25</v>
      </c>
      <c r="B28" s="103" t="s">
        <v>89</v>
      </c>
      <c r="C28" s="103">
        <v>20718</v>
      </c>
      <c r="D28" s="103">
        <v>8608</v>
      </c>
      <c r="E28" s="103" t="s">
        <v>279</v>
      </c>
      <c r="F28" s="103" t="s">
        <v>10</v>
      </c>
      <c r="G28" s="104" t="str">
        <f>VLOOKUP(F28,lookup!B:C,2,FALSE)</f>
        <v>Arts &amp; Science</v>
      </c>
      <c r="H28" s="103" t="s">
        <v>280</v>
      </c>
      <c r="I28" s="103" t="s">
        <v>281</v>
      </c>
      <c r="J28" s="103" t="s">
        <v>101</v>
      </c>
      <c r="K28" s="103" t="s">
        <v>282</v>
      </c>
      <c r="L28" s="118">
        <v>715000</v>
      </c>
      <c r="M28" s="119">
        <v>715000</v>
      </c>
      <c r="N28" s="119">
        <v>21250</v>
      </c>
      <c r="O28" s="119">
        <v>616510</v>
      </c>
      <c r="P28" s="119">
        <v>17400</v>
      </c>
      <c r="Q28" s="120">
        <f>'20718'!H18</f>
        <v>715000</v>
      </c>
      <c r="R28" s="120">
        <v>0</v>
      </c>
      <c r="S28" s="129">
        <f t="shared" si="0"/>
        <v>715000</v>
      </c>
      <c r="T28" s="126">
        <v>0</v>
      </c>
      <c r="U28" s="176">
        <v>0</v>
      </c>
      <c r="V28" s="180" t="str">
        <f t="shared" si="1"/>
        <v>yes</v>
      </c>
      <c r="W28" s="180" t="str">
        <f t="shared" si="3"/>
        <v>no</v>
      </c>
      <c r="X28" s="180" t="str">
        <f t="shared" si="2"/>
        <v>no</v>
      </c>
      <c r="Y28" s="103" t="s">
        <v>340</v>
      </c>
    </row>
    <row r="29" spans="1:25" s="102" customFormat="1" x14ac:dyDescent="0.4">
      <c r="A29" s="105">
        <v>26</v>
      </c>
      <c r="B29" s="103" t="s">
        <v>89</v>
      </c>
      <c r="C29" s="103">
        <v>20723</v>
      </c>
      <c r="D29" s="103">
        <v>1628</v>
      </c>
      <c r="E29" s="103" t="s">
        <v>271</v>
      </c>
      <c r="F29" s="103" t="s">
        <v>21</v>
      </c>
      <c r="G29" s="104" t="str">
        <f>VLOOKUP(F29,lookup!B:C,2,FALSE)</f>
        <v>SOM Basic Sciences</v>
      </c>
      <c r="H29" s="103" t="s">
        <v>150</v>
      </c>
      <c r="I29" s="103" t="s">
        <v>290</v>
      </c>
      <c r="J29" s="103" t="s">
        <v>358</v>
      </c>
      <c r="K29" s="103" t="s">
        <v>154</v>
      </c>
      <c r="L29" s="118">
        <v>1500000</v>
      </c>
      <c r="M29" s="119">
        <v>160500</v>
      </c>
      <c r="N29" s="119">
        <v>155232.51999999999</v>
      </c>
      <c r="O29" s="119">
        <v>155232.51999999999</v>
      </c>
      <c r="P29" s="119">
        <v>133807.51999999999</v>
      </c>
      <c r="Q29" s="120">
        <f>'20723'!H18</f>
        <v>160500</v>
      </c>
      <c r="R29" s="120">
        <v>0</v>
      </c>
      <c r="S29" s="129">
        <f t="shared" si="0"/>
        <v>160500</v>
      </c>
      <c r="T29" s="126">
        <f>L29-S29</f>
        <v>1339500</v>
      </c>
      <c r="U29" s="176">
        <v>0</v>
      </c>
      <c r="V29" s="180" t="str">
        <f t="shared" si="1"/>
        <v>yes</v>
      </c>
      <c r="W29" s="180" t="str">
        <f t="shared" si="3"/>
        <v>yes</v>
      </c>
      <c r="X29" s="180" t="str">
        <f t="shared" si="2"/>
        <v>no</v>
      </c>
      <c r="Y29" s="103" t="s">
        <v>341</v>
      </c>
    </row>
    <row r="30" spans="1:25" s="102" customFormat="1" x14ac:dyDescent="0.4">
      <c r="A30" s="105">
        <v>27</v>
      </c>
      <c r="B30" s="103" t="s">
        <v>89</v>
      </c>
      <c r="C30" s="103">
        <v>20724</v>
      </c>
      <c r="D30" s="103">
        <v>8557</v>
      </c>
      <c r="E30" s="103" t="s">
        <v>239</v>
      </c>
      <c r="F30" s="103" t="s">
        <v>12</v>
      </c>
      <c r="G30" s="104" t="str">
        <f>VLOOKUP(F30,lookup!B:C,2,FALSE)</f>
        <v>Blair</v>
      </c>
      <c r="H30" s="103" t="s">
        <v>153</v>
      </c>
      <c r="I30" s="103" t="s">
        <v>238</v>
      </c>
      <c r="J30" s="103" t="s">
        <v>100</v>
      </c>
      <c r="K30" s="103" t="s">
        <v>154</v>
      </c>
      <c r="L30" s="118">
        <v>950000</v>
      </c>
      <c r="M30" s="119">
        <v>23400</v>
      </c>
      <c r="N30" s="119">
        <v>21480</v>
      </c>
      <c r="O30" s="119">
        <v>21480</v>
      </c>
      <c r="P30" s="119">
        <v>0</v>
      </c>
      <c r="Q30" s="120">
        <f>'20724'!H18</f>
        <v>23400</v>
      </c>
      <c r="R30" s="120">
        <v>0</v>
      </c>
      <c r="S30" s="129">
        <f t="shared" si="0"/>
        <v>23400</v>
      </c>
      <c r="T30" s="126">
        <f>L30-S30</f>
        <v>926600</v>
      </c>
      <c r="U30" s="176">
        <v>0</v>
      </c>
      <c r="V30" s="180" t="str">
        <f t="shared" si="1"/>
        <v>yes</v>
      </c>
      <c r="W30" s="180" t="str">
        <f t="shared" si="3"/>
        <v>yes</v>
      </c>
      <c r="X30" s="180" t="str">
        <f t="shared" si="2"/>
        <v>no</v>
      </c>
      <c r="Y30" s="103" t="s">
        <v>342</v>
      </c>
    </row>
    <row r="31" spans="1:25" s="102" customFormat="1" x14ac:dyDescent="0.4">
      <c r="A31" s="105">
        <v>28</v>
      </c>
      <c r="B31" s="103" t="s">
        <v>90</v>
      </c>
      <c r="C31" s="103">
        <v>20735</v>
      </c>
      <c r="D31" s="103">
        <v>8226</v>
      </c>
      <c r="E31" s="103"/>
      <c r="F31" s="103" t="s">
        <v>26</v>
      </c>
      <c r="G31" s="104" t="str">
        <f>VLOOKUP(F31,lookup!B:C,2,FALSE)</f>
        <v>Owen</v>
      </c>
      <c r="H31" s="103" t="s">
        <v>252</v>
      </c>
      <c r="I31" s="103" t="s">
        <v>277</v>
      </c>
      <c r="J31" s="103" t="s">
        <v>101</v>
      </c>
      <c r="K31" s="103" t="s">
        <v>152</v>
      </c>
      <c r="L31" s="118">
        <v>300000</v>
      </c>
      <c r="M31" s="119">
        <v>300000</v>
      </c>
      <c r="N31" s="119">
        <v>276500</v>
      </c>
      <c r="O31" s="119">
        <v>276500</v>
      </c>
      <c r="P31" s="119">
        <v>0</v>
      </c>
      <c r="Q31" s="120">
        <f>'20735'!H18</f>
        <v>300000</v>
      </c>
      <c r="R31" s="120">
        <v>0</v>
      </c>
      <c r="S31" s="129">
        <f t="shared" si="0"/>
        <v>300000</v>
      </c>
      <c r="T31" s="126">
        <v>0</v>
      </c>
      <c r="U31" s="176">
        <v>0</v>
      </c>
      <c r="V31" s="180" t="str">
        <f t="shared" si="1"/>
        <v>yes</v>
      </c>
      <c r="W31" s="180" t="str">
        <f t="shared" si="3"/>
        <v>no</v>
      </c>
      <c r="X31" s="180" t="str">
        <f t="shared" si="2"/>
        <v>no</v>
      </c>
      <c r="Y31" s="103" t="s">
        <v>343</v>
      </c>
    </row>
    <row r="32" spans="1:25" s="102" customFormat="1" x14ac:dyDescent="0.4">
      <c r="A32" s="105">
        <v>29</v>
      </c>
      <c r="B32" s="103" t="s">
        <v>222</v>
      </c>
      <c r="C32" s="103">
        <v>20767</v>
      </c>
      <c r="D32" s="103">
        <v>8673</v>
      </c>
      <c r="E32" s="103"/>
      <c r="F32" s="103" t="s">
        <v>28</v>
      </c>
      <c r="G32" s="104" t="str">
        <f>VLOOKUP(F32,lookup!B:C,2,FALSE)</f>
        <v>Peabody</v>
      </c>
      <c r="H32" s="103" t="s">
        <v>283</v>
      </c>
      <c r="I32" s="103" t="s">
        <v>284</v>
      </c>
      <c r="J32" s="103" t="s">
        <v>100</v>
      </c>
      <c r="K32" s="103" t="s">
        <v>159</v>
      </c>
      <c r="L32" s="118"/>
      <c r="M32" s="119">
        <v>0</v>
      </c>
      <c r="N32" s="119">
        <v>0</v>
      </c>
      <c r="O32" s="119">
        <v>0</v>
      </c>
      <c r="P32" s="119">
        <v>0</v>
      </c>
      <c r="Q32" s="120">
        <v>0</v>
      </c>
      <c r="R32" s="120">
        <v>0</v>
      </c>
      <c r="S32" s="129">
        <f t="shared" si="0"/>
        <v>0</v>
      </c>
      <c r="T32" s="126" t="s">
        <v>222</v>
      </c>
      <c r="U32" s="176">
        <v>0</v>
      </c>
      <c r="V32" s="180" t="str">
        <f t="shared" si="1"/>
        <v>no</v>
      </c>
      <c r="W32" s="180" t="str">
        <f t="shared" si="3"/>
        <v>yes</v>
      </c>
      <c r="X32" s="180" t="str">
        <f t="shared" si="2"/>
        <v>no</v>
      </c>
      <c r="Y32" s="103" t="s">
        <v>344</v>
      </c>
    </row>
    <row r="33" spans="1:25" s="102" customFormat="1" x14ac:dyDescent="0.4">
      <c r="A33" s="105">
        <v>30</v>
      </c>
      <c r="B33" s="103" t="s">
        <v>90</v>
      </c>
      <c r="C33" s="103">
        <v>20771</v>
      </c>
      <c r="D33" s="103">
        <v>8674</v>
      </c>
      <c r="E33" s="103"/>
      <c r="F33" s="103" t="s">
        <v>10</v>
      </c>
      <c r="G33" s="104" t="str">
        <f>VLOOKUP(F33,lookup!B:C,2,FALSE)</f>
        <v>Arts &amp; Science</v>
      </c>
      <c r="H33" s="103" t="s">
        <v>162</v>
      </c>
      <c r="I33" s="103" t="s">
        <v>287</v>
      </c>
      <c r="J33" s="103" t="s">
        <v>101</v>
      </c>
      <c r="K33" s="103" t="s">
        <v>159</v>
      </c>
      <c r="L33" s="118">
        <v>25000</v>
      </c>
      <c r="M33" s="119">
        <v>24997</v>
      </c>
      <c r="N33" s="119">
        <v>17972</v>
      </c>
      <c r="O33" s="119">
        <v>17972</v>
      </c>
      <c r="P33" s="119">
        <v>0</v>
      </c>
      <c r="Q33" s="120">
        <f>'20771'!H18</f>
        <v>24997</v>
      </c>
      <c r="R33" s="120">
        <v>0</v>
      </c>
      <c r="S33" s="129">
        <f t="shared" si="0"/>
        <v>24997</v>
      </c>
      <c r="T33" s="126">
        <v>0</v>
      </c>
      <c r="U33" s="176">
        <v>0</v>
      </c>
      <c r="V33" s="180" t="str">
        <f t="shared" si="1"/>
        <v>yes</v>
      </c>
      <c r="W33" s="180" t="str">
        <f t="shared" si="3"/>
        <v>no</v>
      </c>
      <c r="X33" s="180" t="str">
        <f t="shared" si="2"/>
        <v>no</v>
      </c>
      <c r="Y33" s="103" t="s">
        <v>345</v>
      </c>
    </row>
    <row r="34" spans="1:25" s="102" customFormat="1" x14ac:dyDescent="0.4">
      <c r="A34" s="105">
        <v>31</v>
      </c>
      <c r="B34" s="103" t="s">
        <v>90</v>
      </c>
      <c r="C34" s="103">
        <v>20772</v>
      </c>
      <c r="D34" s="103">
        <v>8675</v>
      </c>
      <c r="E34" s="103"/>
      <c r="F34" s="103" t="s">
        <v>26</v>
      </c>
      <c r="G34" s="104" t="str">
        <f>VLOOKUP(F34,lookup!B:C,2,FALSE)</f>
        <v>Owen</v>
      </c>
      <c r="H34" s="103" t="s">
        <v>252</v>
      </c>
      <c r="I34" s="103" t="s">
        <v>288</v>
      </c>
      <c r="J34" s="103" t="s">
        <v>285</v>
      </c>
      <c r="K34" s="103" t="s">
        <v>152</v>
      </c>
      <c r="L34" s="118"/>
      <c r="M34" s="119">
        <v>0</v>
      </c>
      <c r="N34" s="119">
        <v>0</v>
      </c>
      <c r="O34" s="119">
        <v>0</v>
      </c>
      <c r="P34" s="119">
        <v>0</v>
      </c>
      <c r="Q34" s="120">
        <v>0</v>
      </c>
      <c r="R34" s="120">
        <v>0</v>
      </c>
      <c r="S34" s="129">
        <f t="shared" si="0"/>
        <v>0</v>
      </c>
      <c r="T34" s="126" t="s">
        <v>222</v>
      </c>
      <c r="U34" s="176">
        <v>0</v>
      </c>
      <c r="V34" s="180" t="str">
        <f t="shared" si="1"/>
        <v>no</v>
      </c>
      <c r="W34" s="180" t="str">
        <f t="shared" si="3"/>
        <v>yes</v>
      </c>
      <c r="X34" s="180" t="str">
        <f>IF(U34=0,"no",IF(U34="","no","yes"))</f>
        <v>no</v>
      </c>
      <c r="Y34" s="103" t="s">
        <v>292</v>
      </c>
    </row>
    <row r="35" spans="1:25" s="102" customFormat="1" x14ac:dyDescent="0.4">
      <c r="A35" s="105">
        <v>32</v>
      </c>
      <c r="B35" s="103" t="s">
        <v>89</v>
      </c>
      <c r="C35" s="103">
        <v>20792</v>
      </c>
      <c r="D35" s="183"/>
      <c r="E35" s="103" t="s">
        <v>350</v>
      </c>
      <c r="F35" s="103" t="s">
        <v>157</v>
      </c>
      <c r="G35" s="104" t="str">
        <f>VLOOKUP(F35,lookup!B:C,2,FALSE)</f>
        <v>Law</v>
      </c>
      <c r="H35" s="103" t="s">
        <v>310</v>
      </c>
      <c r="I35" s="103" t="s">
        <v>311</v>
      </c>
      <c r="J35" s="103" t="s">
        <v>182</v>
      </c>
      <c r="K35" s="103" t="s">
        <v>152</v>
      </c>
      <c r="L35" s="118">
        <v>400000</v>
      </c>
      <c r="M35" s="119">
        <v>483440</v>
      </c>
      <c r="N35" s="119">
        <v>0</v>
      </c>
      <c r="O35" s="119">
        <v>0</v>
      </c>
      <c r="P35" s="119">
        <v>0</v>
      </c>
      <c r="Q35" s="120">
        <v>0</v>
      </c>
      <c r="R35" s="120">
        <f>'20792'!H18</f>
        <v>483440</v>
      </c>
      <c r="S35" s="129">
        <f t="shared" si="0"/>
        <v>483440</v>
      </c>
      <c r="T35" s="126">
        <v>0</v>
      </c>
      <c r="U35" s="176">
        <v>0</v>
      </c>
      <c r="V35" s="180" t="str">
        <f t="shared" ref="V35" si="4">IF(S35=0,"no",IF(S35="","no","yes"))</f>
        <v>yes</v>
      </c>
      <c r="W35" s="180" t="str">
        <f t="shared" ref="W35" si="5">IF(T35=0,"no",IF(T35="","no","yes"))</f>
        <v>no</v>
      </c>
      <c r="X35" s="180" t="str">
        <f>IF(U35=0,"no",IF(U35="","no","yes"))</f>
        <v>no</v>
      </c>
      <c r="Y35" s="103" t="s">
        <v>346</v>
      </c>
    </row>
    <row r="36" spans="1:25" ht="15" thickBot="1" x14ac:dyDescent="0.45">
      <c r="B36" s="93"/>
      <c r="C36" s="93"/>
      <c r="D36" s="94"/>
      <c r="E36" s="93"/>
      <c r="F36" s="93"/>
      <c r="G36" s="106"/>
      <c r="H36" s="93"/>
      <c r="I36" s="93"/>
      <c r="J36" s="93"/>
      <c r="K36" s="93"/>
      <c r="L36" s="121">
        <f>SUM(L4:L35)</f>
        <v>28172492.759999998</v>
      </c>
      <c r="M36" s="122">
        <f t="shared" ref="M36:U36" si="6">SUM(M4:M35)</f>
        <v>13356626.76</v>
      </c>
      <c r="N36" s="122">
        <f t="shared" si="6"/>
        <v>8229133.3099999987</v>
      </c>
      <c r="O36" s="122">
        <f t="shared" si="6"/>
        <v>10645591.309999999</v>
      </c>
      <c r="P36" s="122">
        <f t="shared" si="6"/>
        <v>4201742.5199999996</v>
      </c>
      <c r="Q36" s="123">
        <f>SUM(Q4:Q35)</f>
        <v>8937180.2599999998</v>
      </c>
      <c r="R36" s="123">
        <f t="shared" si="6"/>
        <v>483440</v>
      </c>
      <c r="S36" s="130">
        <f>SUM(S4:S35)</f>
        <v>9420620.2599999998</v>
      </c>
      <c r="T36" s="127">
        <f>SUM(T4:T35)</f>
        <v>7295000</v>
      </c>
      <c r="U36" s="177">
        <f t="shared" si="6"/>
        <v>0</v>
      </c>
      <c r="V36" s="179"/>
      <c r="W36" s="179"/>
      <c r="X36" s="179"/>
      <c r="Y36" s="93"/>
    </row>
    <row r="37" spans="1:25" x14ac:dyDescent="0.4">
      <c r="Q37" s="124" t="b">
        <f>Q36='JE LOG_FY23'!C21</f>
        <v>0</v>
      </c>
      <c r="R37" s="124"/>
      <c r="S37" s="124"/>
      <c r="W37" s="180"/>
    </row>
    <row r="38" spans="1:25" x14ac:dyDescent="0.4">
      <c r="I38" s="99" t="s">
        <v>218</v>
      </c>
      <c r="W38" s="180"/>
    </row>
    <row r="39" spans="1:25" x14ac:dyDescent="0.4">
      <c r="I39" s="100" t="s">
        <v>286</v>
      </c>
      <c r="L39" s="164" t="s">
        <v>273</v>
      </c>
      <c r="M39" s="164"/>
      <c r="N39" s="164"/>
      <c r="O39" s="164"/>
      <c r="P39" s="164"/>
      <c r="Q39" s="164">
        <f>'Summary_for Web-1'!C15</f>
        <v>9364499</v>
      </c>
      <c r="S39" s="164" t="s">
        <v>273</v>
      </c>
      <c r="T39" s="164">
        <f>Contributions!G14</f>
        <v>11029283.289999999</v>
      </c>
      <c r="W39" s="180"/>
    </row>
    <row r="40" spans="1:25" x14ac:dyDescent="0.4">
      <c r="A40" s="86"/>
      <c r="I40" s="100" t="s">
        <v>313</v>
      </c>
      <c r="L40" s="164"/>
      <c r="M40" s="164"/>
      <c r="N40" s="164"/>
      <c r="O40" s="164"/>
      <c r="P40" s="164"/>
      <c r="Q40" s="165"/>
      <c r="S40" s="164"/>
      <c r="T40" s="165"/>
      <c r="W40" s="180"/>
    </row>
    <row r="41" spans="1:25" x14ac:dyDescent="0.4">
      <c r="I41" s="100" t="s">
        <v>314</v>
      </c>
      <c r="J41" s="107"/>
      <c r="L41" s="164" t="s">
        <v>274</v>
      </c>
      <c r="M41" s="164"/>
      <c r="N41" s="164"/>
      <c r="O41" s="164"/>
      <c r="P41" s="164"/>
      <c r="Q41" s="165">
        <f>Q36</f>
        <v>8937180.2599999998</v>
      </c>
      <c r="S41" s="164" t="s">
        <v>274</v>
      </c>
      <c r="T41" s="165">
        <v>0</v>
      </c>
      <c r="W41" s="180"/>
    </row>
    <row r="42" spans="1:25" x14ac:dyDescent="0.4">
      <c r="L42" s="164" t="s">
        <v>276</v>
      </c>
      <c r="M42" s="164"/>
      <c r="N42" s="164"/>
      <c r="O42" s="164"/>
      <c r="P42" s="164"/>
      <c r="Q42" s="165">
        <f>R36</f>
        <v>483440</v>
      </c>
      <c r="S42" s="164" t="s">
        <v>276</v>
      </c>
      <c r="T42" s="165">
        <f>T36</f>
        <v>7295000</v>
      </c>
      <c r="W42" s="180"/>
    </row>
    <row r="43" spans="1:25" x14ac:dyDescent="0.4">
      <c r="L43" s="164"/>
      <c r="M43" s="164"/>
      <c r="N43" s="164"/>
      <c r="O43" s="164"/>
      <c r="P43" s="164"/>
      <c r="Q43" s="166">
        <f>SUM(Q41:Q42)</f>
        <v>9420620.2599999998</v>
      </c>
      <c r="S43" s="164"/>
      <c r="T43" s="166">
        <f>SUM(T41:T42)</f>
        <v>7295000</v>
      </c>
    </row>
    <row r="44" spans="1:25" x14ac:dyDescent="0.4">
      <c r="L44" s="164"/>
      <c r="M44" s="164"/>
      <c r="N44" s="164"/>
      <c r="O44" s="164"/>
      <c r="P44" s="164"/>
      <c r="Q44" s="164"/>
      <c r="S44" s="164"/>
      <c r="T44" s="164"/>
    </row>
    <row r="45" spans="1:25" x14ac:dyDescent="0.4">
      <c r="I45" s="99" t="s">
        <v>228</v>
      </c>
      <c r="L45" s="164" t="s">
        <v>275</v>
      </c>
      <c r="M45" s="164"/>
      <c r="N45" s="164"/>
      <c r="O45" s="164"/>
      <c r="P45" s="164"/>
      <c r="Q45" s="164">
        <f>Q39-Q41-Q42</f>
        <v>-56121.259999999776</v>
      </c>
      <c r="S45" s="164" t="s">
        <v>275</v>
      </c>
      <c r="T45" s="164">
        <f>T39-T43</f>
        <v>3734283.2899999991</v>
      </c>
    </row>
    <row r="46" spans="1:25" x14ac:dyDescent="0.4">
      <c r="I46" s="100" t="s">
        <v>295</v>
      </c>
    </row>
    <row r="47" spans="1:25" x14ac:dyDescent="0.4">
      <c r="I47" s="181" t="s">
        <v>348</v>
      </c>
    </row>
    <row r="48" spans="1:25" x14ac:dyDescent="0.4">
      <c r="I48" s="181" t="s">
        <v>315</v>
      </c>
    </row>
  </sheetData>
  <sortState xmlns:xlrd2="http://schemas.microsoft.com/office/spreadsheetml/2017/richdata2" ref="A4:Y23">
    <sortCondition ref="C4:C23"/>
    <sortCondition ref="J4:J23"/>
    <sortCondition descending="1" ref="L4:L23"/>
  </sortState>
  <phoneticPr fontId="5" type="noConversion"/>
  <hyperlinks>
    <hyperlink ref="C2" location="'JE LOG_FY23'!A1" display="'JE LOG_FY23'!A1" xr:uid="{4AA5BFBA-BD76-4E23-903B-8F8B27E7CF98}"/>
  </hyperlink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7" tint="-0.499984740745262"/>
  </sheetPr>
  <dimension ref="A2:K80"/>
  <sheetViews>
    <sheetView tabSelected="1" zoomScaleNormal="100" workbookViewId="0"/>
  </sheetViews>
  <sheetFormatPr defaultRowHeight="14.6" outlineLevelCol="1" x14ac:dyDescent="0.4"/>
  <cols>
    <col min="2" max="2" width="3.53515625" bestFit="1" customWidth="1"/>
    <col min="3" max="3" width="8.53515625" bestFit="1" customWidth="1"/>
    <col min="4" max="4" width="29.3828125" bestFit="1" customWidth="1"/>
    <col min="5" max="5" width="64.3046875" bestFit="1" customWidth="1"/>
    <col min="6" max="6" width="31.15234375" bestFit="1" customWidth="1"/>
    <col min="7" max="7" width="13.84375" bestFit="1" customWidth="1"/>
    <col min="8" max="9" width="12" style="21" hidden="1" customWidth="1" outlineLevel="1"/>
    <col min="10" max="10" width="14.15234375" customWidth="1" collapsed="1"/>
    <col min="11" max="11" width="14.15234375" customWidth="1"/>
  </cols>
  <sheetData>
    <row r="2" spans="1:11" x14ac:dyDescent="0.4">
      <c r="A2" s="202" t="s">
        <v>352</v>
      </c>
      <c r="B2" s="185"/>
      <c r="C2" s="185" t="s">
        <v>127</v>
      </c>
      <c r="D2" s="185" t="s">
        <v>114</v>
      </c>
      <c r="E2" s="185" t="s">
        <v>87</v>
      </c>
      <c r="F2" s="185" t="s">
        <v>130</v>
      </c>
      <c r="G2" s="185" t="s">
        <v>131</v>
      </c>
      <c r="H2" s="186" t="s">
        <v>274</v>
      </c>
      <c r="I2" s="186" t="s">
        <v>354</v>
      </c>
      <c r="J2" s="185" t="s">
        <v>353</v>
      </c>
      <c r="K2" s="196" t="s">
        <v>356</v>
      </c>
    </row>
    <row r="3" spans="1:11" ht="14.6" customHeight="1" x14ac:dyDescent="0.4">
      <c r="A3" s="202"/>
      <c r="B3" s="110">
        <v>1</v>
      </c>
      <c r="C3">
        <v>10085</v>
      </c>
      <c r="D3" t="str">
        <f>VLOOKUP(C3,'Project Status'!C:H,6,FALSE)</f>
        <v>One Magnolia Circle</v>
      </c>
      <c r="E3" t="str">
        <f>VLOOKUP(C3,'Project Status'!C:I,7,FALSE)</f>
        <v>One Magnolia Circle - Modify/Upgrade Electrical and Grounding</v>
      </c>
      <c r="F3" t="str">
        <f>VLOOKUP(C3,'Project Status'!C:J,8,FALSE)</f>
        <v>Financial Closeout</v>
      </c>
      <c r="G3" t="str">
        <f>VLOOKUP(C3,'Project Status'!C:K,9,FALSE)</f>
        <v>Sean Rewers</v>
      </c>
      <c r="H3" s="21">
        <f>VLOOKUP(C3,'Project Status'!C:Q,15,FALSE)</f>
        <v>22000</v>
      </c>
      <c r="I3" s="21">
        <f>VLOOKUP(C3,'Project Status'!C:R,16,FALSE)</f>
        <v>0</v>
      </c>
      <c r="J3" s="184">
        <f>SUM(H3:I3)</f>
        <v>22000</v>
      </c>
      <c r="K3" s="199">
        <v>9364499</v>
      </c>
    </row>
    <row r="4" spans="1:11" x14ac:dyDescent="0.4">
      <c r="A4" s="202"/>
      <c r="B4" s="110">
        <v>2</v>
      </c>
      <c r="C4">
        <v>10098</v>
      </c>
      <c r="D4" t="str">
        <f>VLOOKUP(C4,'Project Status'!C:H,6,FALSE)</f>
        <v>MRB III BIO/SCI</v>
      </c>
      <c r="E4" t="str">
        <f>VLOOKUP(C4,'Project Status'!C:I,7,FALSE)</f>
        <v>MRB III 4th Floor - Replace Controls (Phase 2)</v>
      </c>
      <c r="F4" t="s">
        <v>241</v>
      </c>
      <c r="G4" t="s">
        <v>154</v>
      </c>
      <c r="H4" s="21">
        <v>1216485.5</v>
      </c>
      <c r="I4" s="21">
        <v>0</v>
      </c>
      <c r="J4" s="184">
        <f t="shared" ref="J4:J31" si="0">SUM(H4:I4)</f>
        <v>1216485.5</v>
      </c>
      <c r="K4" s="199"/>
    </row>
    <row r="5" spans="1:11" x14ac:dyDescent="0.4">
      <c r="A5" s="202"/>
      <c r="B5" s="110">
        <v>3</v>
      </c>
      <c r="C5">
        <v>10146</v>
      </c>
      <c r="D5" t="str">
        <f>VLOOKUP(C5,'Project Status'!C:H,6,FALSE)</f>
        <v>Godchaux Hall</v>
      </c>
      <c r="E5" t="str">
        <f>VLOOKUP(C5,'Project Status'!C:I,7,FALSE)</f>
        <v>Godchaux Hall - HVAC Upgrade</v>
      </c>
      <c r="F5" t="s">
        <v>100</v>
      </c>
      <c r="G5" t="s">
        <v>159</v>
      </c>
      <c r="H5" s="21">
        <v>4900</v>
      </c>
      <c r="I5" s="21">
        <v>0</v>
      </c>
      <c r="J5" s="184">
        <f t="shared" si="0"/>
        <v>4900</v>
      </c>
      <c r="K5" s="199"/>
    </row>
    <row r="6" spans="1:11" x14ac:dyDescent="0.4">
      <c r="A6" s="202"/>
      <c r="B6" s="110">
        <v>4</v>
      </c>
      <c r="C6">
        <v>20179</v>
      </c>
      <c r="D6" t="str">
        <f>VLOOKUP(C6,'Project Status'!C:H,6,FALSE)</f>
        <v>Law School</v>
      </c>
      <c r="E6" t="str">
        <f>VLOOKUP(C6,'Project Status'!C:I,7,FALSE)</f>
        <v>Law School - Fire Alarm System Replacement</v>
      </c>
      <c r="F6" t="s">
        <v>241</v>
      </c>
      <c r="G6" t="s">
        <v>158</v>
      </c>
      <c r="H6" s="21">
        <v>722694.5</v>
      </c>
      <c r="I6" s="21">
        <v>0</v>
      </c>
      <c r="J6" s="184">
        <f t="shared" si="0"/>
        <v>722694.5</v>
      </c>
      <c r="K6" s="199"/>
    </row>
    <row r="7" spans="1:11" x14ac:dyDescent="0.4">
      <c r="A7" s="202"/>
      <c r="B7" s="110">
        <v>5</v>
      </c>
      <c r="C7">
        <v>20336</v>
      </c>
      <c r="D7" t="str">
        <f>VLOOKUP(C7,'Project Status'!C:H,6,FALSE)</f>
        <v>BLAIR SCHOOL OF MUSIC</v>
      </c>
      <c r="E7" t="str">
        <f>VLOOKUP(C7,'Project Status'!C:I,7,FALSE)</f>
        <v>Blair School of Music - Elevator #3 Modernization</v>
      </c>
      <c r="F7" t="s">
        <v>101</v>
      </c>
      <c r="G7" t="s">
        <v>152</v>
      </c>
      <c r="H7" s="21">
        <v>327890</v>
      </c>
      <c r="I7" s="21">
        <v>0</v>
      </c>
      <c r="J7" s="184">
        <f t="shared" si="0"/>
        <v>327890</v>
      </c>
      <c r="K7" s="199"/>
    </row>
    <row r="8" spans="1:11" x14ac:dyDescent="0.4">
      <c r="A8" s="202"/>
      <c r="B8" s="110">
        <v>6</v>
      </c>
      <c r="C8">
        <v>20431</v>
      </c>
      <c r="D8" t="str">
        <f>VLOOKUP(C8,'Project Status'!C:H,6,FALSE)</f>
        <v>DIVINITY</v>
      </c>
      <c r="E8" t="str">
        <f>VLOOKUP(C8,'Project Status'!C:I,7,FALSE)</f>
        <v>Divinity - AHU 5N (5 &amp; 6) Replacement</v>
      </c>
      <c r="F8" t="s">
        <v>101</v>
      </c>
      <c r="G8" t="s">
        <v>154</v>
      </c>
      <c r="H8" s="21">
        <v>69862.5</v>
      </c>
      <c r="I8" s="21">
        <v>0</v>
      </c>
      <c r="J8" s="184">
        <f t="shared" si="0"/>
        <v>69862.5</v>
      </c>
      <c r="K8" s="199"/>
    </row>
    <row r="9" spans="1:11" x14ac:dyDescent="0.4">
      <c r="A9" s="202"/>
      <c r="B9" s="110">
        <v>7</v>
      </c>
      <c r="C9">
        <v>20478</v>
      </c>
      <c r="D9" t="str">
        <f>VLOOKUP(C9,'Project Status'!C:H,6,FALSE)</f>
        <v>BRYAN BLDG</v>
      </c>
      <c r="E9" t="str">
        <f>VLOOKUP(C9,'Project Status'!C:I,7,FALSE)</f>
        <v>Bryan Building - Swing Space Renovation - A&amp;S Planning</v>
      </c>
      <c r="F9" t="s">
        <v>230</v>
      </c>
      <c r="G9" t="s">
        <v>245</v>
      </c>
      <c r="H9" s="21">
        <v>81100</v>
      </c>
      <c r="I9" s="21">
        <v>0</v>
      </c>
      <c r="J9" s="184">
        <f t="shared" si="0"/>
        <v>81100</v>
      </c>
      <c r="K9" s="199"/>
    </row>
    <row r="10" spans="1:11" x14ac:dyDescent="0.4">
      <c r="A10" s="202"/>
      <c r="B10" s="110">
        <v>8</v>
      </c>
      <c r="C10">
        <v>20489</v>
      </c>
      <c r="D10" t="str">
        <f>VLOOKUP(C10,'Project Status'!C:H,6,FALSE)</f>
        <v>DIVINITY</v>
      </c>
      <c r="E10" t="str">
        <f>VLOOKUP(C10,'Project Status'!C:I,7,FALSE)</f>
        <v>Divinity - AHU 1N (1&amp;3) Replacement with Benton</v>
      </c>
      <c r="F10" t="s">
        <v>100</v>
      </c>
      <c r="G10" t="s">
        <v>154</v>
      </c>
      <c r="H10" s="21">
        <v>26500</v>
      </c>
      <c r="I10" s="21">
        <v>0</v>
      </c>
      <c r="J10" s="184">
        <f t="shared" si="0"/>
        <v>26500</v>
      </c>
      <c r="K10" s="199"/>
    </row>
    <row r="11" spans="1:11" x14ac:dyDescent="0.4">
      <c r="A11" s="202"/>
      <c r="B11" s="110">
        <v>9</v>
      </c>
      <c r="C11">
        <v>20497</v>
      </c>
      <c r="D11" t="str">
        <f>VLOOKUP(C11,'Project Status'!C:H,6,FALSE)</f>
        <v>JESUP PSYCHOLOGY</v>
      </c>
      <c r="E11" t="str">
        <f>VLOOKUP(C11,'Project Status'!C:I,7,FALSE)</f>
        <v>Jesup - Roof Replacement</v>
      </c>
      <c r="F11" t="s">
        <v>101</v>
      </c>
      <c r="G11" t="s">
        <v>152</v>
      </c>
      <c r="H11" s="21">
        <v>79415.5</v>
      </c>
      <c r="I11" s="21">
        <v>0</v>
      </c>
      <c r="J11" s="184">
        <f t="shared" si="0"/>
        <v>79415.5</v>
      </c>
      <c r="K11" s="199"/>
    </row>
    <row r="12" spans="1:11" x14ac:dyDescent="0.4">
      <c r="A12" s="202"/>
      <c r="B12" s="110">
        <v>10</v>
      </c>
      <c r="C12">
        <v>20506</v>
      </c>
      <c r="D12" t="str">
        <f>VLOOKUP(C12,'Project Status'!C:H,6,FALSE)</f>
        <v>WYATT CENTER</v>
      </c>
      <c r="E12" t="str">
        <f>VLOOKUP(C12,'Project Status'!C:I,7,FALSE)</f>
        <v>Wyatt Center - Window Replacement</v>
      </c>
      <c r="F12" t="s">
        <v>101</v>
      </c>
      <c r="G12" t="s">
        <v>152</v>
      </c>
      <c r="H12" s="21">
        <v>344155.26</v>
      </c>
      <c r="I12" s="21">
        <v>0</v>
      </c>
      <c r="J12" s="184">
        <f t="shared" si="0"/>
        <v>344155.26</v>
      </c>
      <c r="K12" s="199"/>
    </row>
    <row r="13" spans="1:11" x14ac:dyDescent="0.4">
      <c r="A13" s="202"/>
      <c r="B13" s="110">
        <v>11</v>
      </c>
      <c r="C13">
        <v>20562</v>
      </c>
      <c r="D13" t="str">
        <f>VLOOKUP(C13,'Project Status'!C:H,6,FALSE)</f>
        <v>WYATT CENTER</v>
      </c>
      <c r="E13" t="str">
        <f>VLOOKUP(C13,'Project Status'!C:I,7,FALSE)</f>
        <v>Wyatt Center - VAV Replacement</v>
      </c>
      <c r="F13" t="s">
        <v>101</v>
      </c>
      <c r="G13" t="s">
        <v>159</v>
      </c>
      <c r="H13" s="21">
        <v>405791</v>
      </c>
      <c r="I13" s="21">
        <v>0</v>
      </c>
      <c r="J13" s="184">
        <f t="shared" si="0"/>
        <v>405791</v>
      </c>
      <c r="K13" s="199"/>
    </row>
    <row r="14" spans="1:11" x14ac:dyDescent="0.4">
      <c r="A14" s="202"/>
      <c r="B14" s="110">
        <v>12</v>
      </c>
      <c r="C14">
        <v>20566</v>
      </c>
      <c r="D14" t="str">
        <f>VLOOKUP(C14,'Project Status'!C:H,6,FALSE)</f>
        <v>SC CHEMISTRY</v>
      </c>
      <c r="E14" t="str">
        <f>VLOOKUP(C14,'Project Status'!C:I,7,FALSE)</f>
        <v>SC Chemistry (SC7) - Elevator 1 &amp; 2 Modernization</v>
      </c>
      <c r="F14" t="s">
        <v>101</v>
      </c>
      <c r="G14" t="s">
        <v>152</v>
      </c>
      <c r="H14" s="21">
        <v>781870</v>
      </c>
      <c r="I14" s="21">
        <v>0</v>
      </c>
      <c r="J14" s="184">
        <f t="shared" si="0"/>
        <v>781870</v>
      </c>
      <c r="K14" s="199"/>
    </row>
    <row r="15" spans="1:11" x14ac:dyDescent="0.4">
      <c r="A15" s="202"/>
      <c r="B15" s="110">
        <v>13</v>
      </c>
      <c r="C15">
        <v>20573</v>
      </c>
      <c r="D15" t="str">
        <f>VLOOKUP(C15,'Project Status'!C:H,6,FALSE)</f>
        <v>WYATT CENTER</v>
      </c>
      <c r="E15" t="str">
        <f>VLOOKUP(C15,'Project Status'!C:I,7,FALSE)</f>
        <v>Wyatt Center - Roof Replacement</v>
      </c>
      <c r="F15" t="s">
        <v>101</v>
      </c>
      <c r="G15" t="s">
        <v>152</v>
      </c>
      <c r="H15" s="21">
        <v>1232681</v>
      </c>
      <c r="I15" s="21">
        <v>0</v>
      </c>
      <c r="J15" s="184">
        <f t="shared" si="0"/>
        <v>1232681</v>
      </c>
      <c r="K15" s="199"/>
    </row>
    <row r="16" spans="1:11" x14ac:dyDescent="0.4">
      <c r="A16" s="202"/>
      <c r="B16" s="110">
        <v>14</v>
      </c>
      <c r="C16">
        <v>20574</v>
      </c>
      <c r="D16" t="str">
        <f>VLOOKUP(C16,'Project Status'!C:H,6,FALSE)</f>
        <v>MRB III BIO/SCI</v>
      </c>
      <c r="E16" t="str">
        <f>VLOOKUP(C16,'Project Status'!C:I,7,FALSE)</f>
        <v>MRB III - Steam Coil Replacement</v>
      </c>
      <c r="F16" t="s">
        <v>101</v>
      </c>
      <c r="G16" t="s">
        <v>159</v>
      </c>
      <c r="H16" s="21">
        <v>218202</v>
      </c>
      <c r="I16" s="21">
        <v>0</v>
      </c>
      <c r="J16" s="184">
        <f t="shared" si="0"/>
        <v>218202</v>
      </c>
      <c r="K16" s="199"/>
    </row>
    <row r="17" spans="1:11" x14ac:dyDescent="0.4">
      <c r="A17" s="202"/>
      <c r="B17" s="110">
        <v>15</v>
      </c>
      <c r="C17">
        <v>20577</v>
      </c>
      <c r="D17" t="str">
        <f>VLOOKUP(C17,'Project Status'!C:H,6,FALSE)</f>
        <v>BLAIR SCHOOL OF MUSIC</v>
      </c>
      <c r="E17" t="str">
        <f>VLOOKUP(C17,'Project Status'!C:I,7,FALSE)</f>
        <v>Blair School of Music - Air Handling Unit Replacement</v>
      </c>
      <c r="F17" t="s">
        <v>100</v>
      </c>
      <c r="G17" t="s">
        <v>154</v>
      </c>
      <c r="H17" s="21">
        <v>223000</v>
      </c>
      <c r="I17" s="21">
        <v>0</v>
      </c>
      <c r="J17" s="184">
        <f t="shared" si="0"/>
        <v>223000</v>
      </c>
      <c r="K17" s="199"/>
    </row>
    <row r="18" spans="1:11" x14ac:dyDescent="0.4">
      <c r="A18" s="202"/>
      <c r="B18" s="110">
        <v>16</v>
      </c>
      <c r="C18">
        <v>20644</v>
      </c>
      <c r="D18" t="str">
        <f>VLOOKUP(C18,'Project Status'!C:H,6,FALSE)</f>
        <v>PEABODY ADMINISTRATION</v>
      </c>
      <c r="E18" t="str">
        <f>VLOOKUP(C18,'Project Status'!C:I,7,FALSE)</f>
        <v>Peabody Administration - Envelope Repairs</v>
      </c>
      <c r="F18" t="s">
        <v>101</v>
      </c>
      <c r="G18" t="s">
        <v>152</v>
      </c>
      <c r="H18" s="21">
        <v>630554</v>
      </c>
      <c r="I18" s="21">
        <v>0</v>
      </c>
      <c r="J18" s="184">
        <f t="shared" si="0"/>
        <v>630554</v>
      </c>
      <c r="K18" s="199"/>
    </row>
    <row r="19" spans="1:11" x14ac:dyDescent="0.4">
      <c r="A19" s="202"/>
      <c r="B19" s="110">
        <v>17</v>
      </c>
      <c r="C19">
        <v>20645</v>
      </c>
      <c r="D19" t="str">
        <f>VLOOKUP(C19,'Project Status'!C:H,6,FALSE)</f>
        <v>BENSON OLD CENTRAL</v>
      </c>
      <c r="E19" t="str">
        <f>VLOOKUP(C19,'Project Status'!C:I,7,FALSE)</f>
        <v>Benson Old Central - Replace Soffit and Doors</v>
      </c>
      <c r="F19" t="s">
        <v>182</v>
      </c>
      <c r="G19" t="s">
        <v>152</v>
      </c>
      <c r="H19" s="21">
        <v>125875</v>
      </c>
      <c r="I19" s="21">
        <v>0</v>
      </c>
      <c r="J19" s="184">
        <f t="shared" si="0"/>
        <v>125875</v>
      </c>
      <c r="K19" s="199"/>
    </row>
    <row r="20" spans="1:11" x14ac:dyDescent="0.4">
      <c r="A20" s="202"/>
      <c r="B20" s="110">
        <v>18</v>
      </c>
      <c r="C20">
        <v>20667</v>
      </c>
      <c r="D20" t="str">
        <f>VLOOKUP(C20,'Project Status'!C:H,6,FALSE)</f>
        <v>1025 16TH AVE S</v>
      </c>
      <c r="E20" t="str">
        <f>VLOOKUP(C20,'Project Status'!C:I,7,FALSE)</f>
        <v>1025 16th Avenue - Mechanical and Electrical Upgrades</v>
      </c>
      <c r="F20" t="s">
        <v>100</v>
      </c>
      <c r="G20" t="s">
        <v>159</v>
      </c>
      <c r="H20" s="21">
        <v>146500</v>
      </c>
      <c r="I20" s="21">
        <v>0</v>
      </c>
      <c r="J20" s="184">
        <f t="shared" si="0"/>
        <v>146500</v>
      </c>
      <c r="K20" s="199"/>
    </row>
    <row r="21" spans="1:11" x14ac:dyDescent="0.4">
      <c r="A21" s="202"/>
      <c r="B21" s="110">
        <v>19</v>
      </c>
      <c r="C21">
        <v>20668</v>
      </c>
      <c r="D21" t="str">
        <f>VLOOKUP(C21,'Project Status'!C:H,6,FALSE)</f>
        <v>KECK FREE ELECTRON LASER CTR</v>
      </c>
      <c r="E21" t="str">
        <f>VLOOKUP(C21,'Project Status'!C:I,7,FALSE)</f>
        <v>Keck FEL - Mechanical Upgrades</v>
      </c>
      <c r="F21" t="s">
        <v>100</v>
      </c>
      <c r="G21" t="s">
        <v>159</v>
      </c>
      <c r="H21" s="21">
        <v>206500</v>
      </c>
      <c r="I21" s="21">
        <v>0</v>
      </c>
      <c r="J21" s="184">
        <f t="shared" si="0"/>
        <v>206500</v>
      </c>
      <c r="K21" s="199"/>
    </row>
    <row r="22" spans="1:11" x14ac:dyDescent="0.4">
      <c r="A22" s="202"/>
      <c r="B22" s="110">
        <v>20</v>
      </c>
      <c r="C22">
        <v>20698</v>
      </c>
      <c r="D22" t="str">
        <f>VLOOKUP(C22,'Project Status'!C:H,6,FALSE)</f>
        <v>WILSON HALL</v>
      </c>
      <c r="E22" t="str">
        <f>VLOOKUP(C22,'Project Status'!C:I,7,FALSE)</f>
        <v>Wilson Hall - Fire Alarm Replacement</v>
      </c>
      <c r="F22" t="s">
        <v>100</v>
      </c>
      <c r="G22" t="s">
        <v>159</v>
      </c>
      <c r="H22" s="21">
        <v>29250</v>
      </c>
      <c r="I22" s="21">
        <v>0</v>
      </c>
      <c r="J22" s="184">
        <f t="shared" si="0"/>
        <v>29250</v>
      </c>
      <c r="K22" s="199"/>
    </row>
    <row r="23" spans="1:11" x14ac:dyDescent="0.4">
      <c r="A23" s="202"/>
      <c r="B23" s="110">
        <v>21</v>
      </c>
      <c r="C23">
        <v>20700</v>
      </c>
      <c r="D23" t="str">
        <f>VLOOKUP(C23,'Project Status'!C:H,6,FALSE)</f>
        <v>SC CHEMISTRY</v>
      </c>
      <c r="E23" t="str">
        <f>VLOOKUP(C23,'Project Status'!C:I,7,FALSE)</f>
        <v>SC-7 Chemistry - SG-1 Removal and Connection to Central Plant Steam</v>
      </c>
      <c r="F23" t="s">
        <v>101</v>
      </c>
      <c r="G23" t="s">
        <v>159</v>
      </c>
      <c r="H23" s="21">
        <v>79623</v>
      </c>
      <c r="I23" s="21">
        <v>0</v>
      </c>
      <c r="J23" s="184">
        <f t="shared" si="0"/>
        <v>79623</v>
      </c>
      <c r="K23" s="199"/>
    </row>
    <row r="24" spans="1:11" x14ac:dyDescent="0.4">
      <c r="A24" s="202"/>
      <c r="B24" s="110">
        <v>22</v>
      </c>
      <c r="C24">
        <v>20701</v>
      </c>
      <c r="D24" t="str">
        <f>VLOOKUP(C24,'Project Status'!C:H,6,FALSE)</f>
        <v>SC SCIENCE &amp; ENGINEERING</v>
      </c>
      <c r="E24" t="str">
        <f>VLOOKUP(C24,'Project Status'!C:I,7,FALSE)</f>
        <v>SC-5 - Chemical Discharge Replacement</v>
      </c>
      <c r="F24" t="s">
        <v>182</v>
      </c>
      <c r="G24" t="s">
        <v>159</v>
      </c>
      <c r="H24" s="21">
        <v>499093</v>
      </c>
      <c r="I24" s="21">
        <v>0</v>
      </c>
      <c r="J24" s="184">
        <f t="shared" si="0"/>
        <v>499093</v>
      </c>
      <c r="K24" s="199"/>
    </row>
    <row r="25" spans="1:11" x14ac:dyDescent="0.4">
      <c r="A25" s="202"/>
      <c r="B25" s="110">
        <v>23</v>
      </c>
      <c r="C25">
        <v>20702</v>
      </c>
      <c r="D25" t="str">
        <f>VLOOKUP(C25,'Project Status'!C:H,6,FALSE)</f>
        <v>WYATT CENTER</v>
      </c>
      <c r="E25" t="str">
        <f>VLOOKUP(C25,'Project Status'!C:I,7,FALSE)</f>
        <v>Wyatt Center - Elevator #2 Modernization</v>
      </c>
      <c r="F25" t="s">
        <v>101</v>
      </c>
      <c r="G25" t="s">
        <v>152</v>
      </c>
      <c r="H25" s="21">
        <v>239341</v>
      </c>
      <c r="I25" s="21">
        <v>0</v>
      </c>
      <c r="J25" s="184">
        <f t="shared" si="0"/>
        <v>239341</v>
      </c>
      <c r="K25" s="199"/>
    </row>
    <row r="26" spans="1:11" x14ac:dyDescent="0.4">
      <c r="A26" s="202"/>
      <c r="B26" s="110">
        <v>24</v>
      </c>
      <c r="C26">
        <v>20718</v>
      </c>
      <c r="D26" t="str">
        <f>VLOOKUP(C26,'Project Status'!C:H,6,FALSE)</f>
        <v>BUTTRICK HALL</v>
      </c>
      <c r="E26" t="str">
        <f>VLOOKUP(C26,'Project Status'!C:I,7,FALSE)</f>
        <v>Buttrick Hall - 3rd Floor Inequality Renovations</v>
      </c>
      <c r="F26" t="s">
        <v>101</v>
      </c>
      <c r="G26" t="s">
        <v>282</v>
      </c>
      <c r="H26" s="21">
        <v>715000</v>
      </c>
      <c r="I26" s="21">
        <v>0</v>
      </c>
      <c r="J26" s="184">
        <f t="shared" si="0"/>
        <v>715000</v>
      </c>
      <c r="K26" s="199"/>
    </row>
    <row r="27" spans="1:11" x14ac:dyDescent="0.4">
      <c r="A27" s="202"/>
      <c r="B27" s="110">
        <v>25</v>
      </c>
      <c r="C27">
        <v>20723</v>
      </c>
      <c r="D27" t="str">
        <f>VLOOKUP(C27,'Project Status'!C:H,6,FALSE)</f>
        <v>MRB III BIO/SCI</v>
      </c>
      <c r="E27" t="str">
        <f>VLOOKUP(C27,'Project Status'!C:I,7,FALSE)</f>
        <v>MRB III 4,5,8,9th Floor - Replace Controls (Phase 3)</v>
      </c>
      <c r="F27" t="s">
        <v>109</v>
      </c>
      <c r="G27" t="s">
        <v>154</v>
      </c>
      <c r="H27" s="21">
        <v>160500</v>
      </c>
      <c r="I27" s="21">
        <v>0</v>
      </c>
      <c r="J27" s="184">
        <f t="shared" si="0"/>
        <v>160500</v>
      </c>
      <c r="K27" s="199"/>
    </row>
    <row r="28" spans="1:11" x14ac:dyDescent="0.4">
      <c r="A28" s="202"/>
      <c r="B28" s="110">
        <v>26</v>
      </c>
      <c r="C28">
        <v>20724</v>
      </c>
      <c r="D28" t="str">
        <f>VLOOKUP(C28,'Project Status'!C:H,6,FALSE)</f>
        <v>BLAIR SCHOOL OF MUSIC</v>
      </c>
      <c r="E28" t="str">
        <f>VLOOKUP(C28,'Project Status'!C:I,7,FALSE)</f>
        <v>Blair School of Music - Steam Line</v>
      </c>
      <c r="F28" t="s">
        <v>100</v>
      </c>
      <c r="G28" t="s">
        <v>154</v>
      </c>
      <c r="H28" s="21">
        <v>23400</v>
      </c>
      <c r="I28" s="21">
        <v>0</v>
      </c>
      <c r="J28" s="184">
        <f t="shared" si="0"/>
        <v>23400</v>
      </c>
      <c r="K28" s="199"/>
    </row>
    <row r="29" spans="1:11" x14ac:dyDescent="0.4">
      <c r="A29" s="202"/>
      <c r="B29" s="110">
        <v>27</v>
      </c>
      <c r="C29">
        <v>20735</v>
      </c>
      <c r="D29" t="str">
        <f>VLOOKUP(C29,'Project Status'!C:H,6,FALSE)</f>
        <v>OWEN GRAD MGMT</v>
      </c>
      <c r="E29" t="str">
        <f>VLOOKUP(C29,'Project Status'!C:I,7,FALSE)</f>
        <v>Owen - Roof Replacement (Third Level)</v>
      </c>
      <c r="F29" t="s">
        <v>101</v>
      </c>
      <c r="G29" t="s">
        <v>152</v>
      </c>
      <c r="H29" s="21">
        <v>300000</v>
      </c>
      <c r="I29" s="21">
        <v>0</v>
      </c>
      <c r="J29" s="184">
        <f t="shared" si="0"/>
        <v>300000</v>
      </c>
      <c r="K29" s="199"/>
    </row>
    <row r="30" spans="1:11" x14ac:dyDescent="0.4">
      <c r="A30" s="202"/>
      <c r="B30" s="110">
        <v>28</v>
      </c>
      <c r="C30">
        <v>20771</v>
      </c>
      <c r="D30" t="str">
        <f>VLOOKUP(C30,'Project Status'!C:H,6,FALSE)</f>
        <v>SC CHEMISTRY</v>
      </c>
      <c r="E30" t="str">
        <f>VLOOKUP(C30,'Project Status'!C:I,7,FALSE)</f>
        <v>SC4 - Interstitial Space HVAC Modifications</v>
      </c>
      <c r="F30" t="s">
        <v>101</v>
      </c>
      <c r="G30" t="s">
        <v>159</v>
      </c>
      <c r="H30" s="21">
        <v>24997</v>
      </c>
      <c r="I30" s="21">
        <v>0</v>
      </c>
      <c r="J30" s="184">
        <f t="shared" si="0"/>
        <v>24997</v>
      </c>
      <c r="K30" s="199"/>
    </row>
    <row r="31" spans="1:11" x14ac:dyDescent="0.4">
      <c r="A31" s="202"/>
      <c r="B31" s="110">
        <v>29</v>
      </c>
      <c r="C31">
        <v>20792</v>
      </c>
      <c r="D31" t="str">
        <f>VLOOKUP(C31,'Project Status'!C:H,6,FALSE)</f>
        <v>LAW SCHOOL</v>
      </c>
      <c r="E31" t="str">
        <f>VLOOKUP(C31,'Project Status'!C:I,7,FALSE)</f>
        <v>Law School - Sections 1, 2, &amp; 3  Roof Replacement</v>
      </c>
      <c r="F31" t="s">
        <v>182</v>
      </c>
      <c r="G31" t="s">
        <v>152</v>
      </c>
      <c r="H31" s="21">
        <v>0</v>
      </c>
      <c r="I31" s="21">
        <v>483440</v>
      </c>
      <c r="J31" s="184">
        <f t="shared" si="0"/>
        <v>483440</v>
      </c>
      <c r="K31" s="199"/>
    </row>
    <row r="32" spans="1:11" x14ac:dyDescent="0.4">
      <c r="H32" s="187">
        <f t="shared" ref="H32:I32" si="1">SUM(H3:H31)</f>
        <v>8937180.2599999998</v>
      </c>
      <c r="I32" s="187">
        <f t="shared" si="1"/>
        <v>483440</v>
      </c>
      <c r="J32" s="187">
        <f>SUM(J3:J31)</f>
        <v>9420620.2599999998</v>
      </c>
      <c r="K32" s="199"/>
    </row>
    <row r="34" spans="1:11" x14ac:dyDescent="0.4">
      <c r="A34" s="203" t="s">
        <v>355</v>
      </c>
      <c r="B34" s="188"/>
      <c r="C34" s="188" t="s">
        <v>127</v>
      </c>
      <c r="D34" s="188" t="s">
        <v>114</v>
      </c>
      <c r="E34" s="188" t="s">
        <v>87</v>
      </c>
      <c r="F34" s="188" t="s">
        <v>130</v>
      </c>
      <c r="G34" s="188" t="s">
        <v>131</v>
      </c>
      <c r="H34" s="189" t="s">
        <v>274</v>
      </c>
      <c r="I34" s="189" t="s">
        <v>354</v>
      </c>
      <c r="J34" s="188" t="s">
        <v>353</v>
      </c>
      <c r="K34" s="197" t="s">
        <v>356</v>
      </c>
    </row>
    <row r="35" spans="1:11" ht="14.6" customHeight="1" x14ac:dyDescent="0.4">
      <c r="A35" s="203"/>
      <c r="B35" s="110">
        <v>1</v>
      </c>
      <c r="C35">
        <v>10146</v>
      </c>
      <c r="D35" t="str">
        <f>VLOOKUP(C35,'Project Status'!C:H,6,FALSE)</f>
        <v>Godchaux Hall</v>
      </c>
      <c r="E35" t="str">
        <f>VLOOKUP(C35,'Project Status'!C:I,7,FALSE)</f>
        <v>Godchaux Hall - HVAC Upgrade</v>
      </c>
      <c r="F35" t="str">
        <f>VLOOKUP(C35,'Project Status'!C:J,8,FALSE)</f>
        <v>Design</v>
      </c>
      <c r="G35" t="str">
        <f>VLOOKUP(C35,'Project Status'!C:K,9,FALSE)</f>
        <v>Sean Rewers</v>
      </c>
      <c r="I35" s="191" t="str">
        <f>VLOOKUP(C35,'Project Status'!C:T,18,FALSE)</f>
        <v>TBD</v>
      </c>
      <c r="J35" s="192" t="str">
        <f>IF(I35="TBD",I35,SUM(H35:I35))</f>
        <v>TBD</v>
      </c>
      <c r="K35" s="200">
        <f>Contributions!G14</f>
        <v>11029283.289999999</v>
      </c>
    </row>
    <row r="36" spans="1:11" x14ac:dyDescent="0.4">
      <c r="A36" s="203"/>
      <c r="B36" s="110">
        <v>2</v>
      </c>
      <c r="C36">
        <v>20431</v>
      </c>
      <c r="D36" t="str">
        <f>VLOOKUP(C36,'Project Status'!C:H,6,FALSE)</f>
        <v>DIVINITY</v>
      </c>
      <c r="E36" t="str">
        <f>VLOOKUP(C36,'Project Status'!C:I,7,FALSE)</f>
        <v>Divinity - AHU 5N (5 &amp; 6) Replacement</v>
      </c>
      <c r="F36" t="str">
        <f>VLOOKUP(C36,'Project Status'!C:J,8,FALSE)</f>
        <v>Construction</v>
      </c>
      <c r="G36" t="str">
        <f>VLOOKUP(C36,'Project Status'!C:K,9,FALSE)</f>
        <v>Hans Mooy</v>
      </c>
      <c r="I36" s="191">
        <f>VLOOKUP(C36,'Project Status'!C:T,18,FALSE)</f>
        <v>4000000</v>
      </c>
      <c r="J36" s="192">
        <f t="shared" ref="J36:J44" si="2">IF(I36="TBD",I36,SUM(H36:I36))</f>
        <v>4000000</v>
      </c>
      <c r="K36" s="200"/>
    </row>
    <row r="37" spans="1:11" x14ac:dyDescent="0.4">
      <c r="A37" s="203"/>
      <c r="B37" s="110">
        <v>3</v>
      </c>
      <c r="C37">
        <v>20478</v>
      </c>
      <c r="D37" t="str">
        <f>VLOOKUP(C37,'Project Status'!C:H,6,FALSE)</f>
        <v>BRYAN BLDG</v>
      </c>
      <c r="E37" t="str">
        <f>VLOOKUP(C37,'Project Status'!C:I,7,FALSE)</f>
        <v>Bryan Building - Swing Space Renovation - A&amp;S Planning</v>
      </c>
      <c r="F37" t="str">
        <f>VLOOKUP(C37,'Project Status'!C:J,8,FALSE)</f>
        <v>Bidding</v>
      </c>
      <c r="G37" t="str">
        <f>VLOOKUP(C37,'Project Status'!C:K,9,FALSE)</f>
        <v>Cathy Bartlett</v>
      </c>
      <c r="I37" s="191">
        <f>VLOOKUP(C37,'Project Status'!C:T,18,FALSE)</f>
        <v>1028900</v>
      </c>
      <c r="J37" s="192">
        <f t="shared" si="2"/>
        <v>1028900</v>
      </c>
      <c r="K37" s="200"/>
    </row>
    <row r="38" spans="1:11" x14ac:dyDescent="0.4">
      <c r="A38" s="203"/>
      <c r="B38" s="110">
        <v>4</v>
      </c>
      <c r="C38">
        <v>20667</v>
      </c>
      <c r="D38" t="str">
        <f>VLOOKUP(C38,'Project Status'!C:H,6,FALSE)</f>
        <v>1025 16TH AVE S</v>
      </c>
      <c r="E38" t="str">
        <f>VLOOKUP(C38,'Project Status'!C:I,7,FALSE)</f>
        <v>1025 16th Avenue - Mechanical and Electrical Upgrades</v>
      </c>
      <c r="F38" t="str">
        <f>VLOOKUP(C38,'Project Status'!C:J,8,FALSE)</f>
        <v>Design</v>
      </c>
      <c r="G38" t="str">
        <f>VLOOKUP(C38,'Project Status'!C:K,9,FALSE)</f>
        <v>Sean Rewers</v>
      </c>
      <c r="I38" s="191" t="str">
        <f>VLOOKUP(C38,'Project Status'!C:T,18,FALSE)</f>
        <v>TBD</v>
      </c>
      <c r="J38" s="192" t="str">
        <f t="shared" si="2"/>
        <v>TBD</v>
      </c>
      <c r="K38" s="200"/>
    </row>
    <row r="39" spans="1:11" x14ac:dyDescent="0.4">
      <c r="A39" s="203"/>
      <c r="B39" s="110">
        <v>5</v>
      </c>
      <c r="C39">
        <v>20668</v>
      </c>
      <c r="D39" t="str">
        <f>VLOOKUP(C39,'Project Status'!C:H,6,FALSE)</f>
        <v>KECK FREE ELECTRON LASER CTR</v>
      </c>
      <c r="E39" t="str">
        <f>VLOOKUP(C39,'Project Status'!C:I,7,FALSE)</f>
        <v>Keck FEL - Mechanical Upgrades</v>
      </c>
      <c r="F39" t="str">
        <f>VLOOKUP(C39,'Project Status'!C:J,8,FALSE)</f>
        <v>Design</v>
      </c>
      <c r="G39" t="str">
        <f>VLOOKUP(C39,'Project Status'!C:K,9,FALSE)</f>
        <v>Sean Rewers</v>
      </c>
      <c r="I39" s="191" t="str">
        <f>VLOOKUP(C39,'Project Status'!C:T,18,FALSE)</f>
        <v>TBD</v>
      </c>
      <c r="J39" s="192" t="str">
        <f t="shared" si="2"/>
        <v>TBD</v>
      </c>
      <c r="K39" s="200"/>
    </row>
    <row r="40" spans="1:11" x14ac:dyDescent="0.4">
      <c r="A40" s="203"/>
      <c r="B40" s="110">
        <v>6</v>
      </c>
      <c r="C40">
        <v>20698</v>
      </c>
      <c r="D40" t="str">
        <f>VLOOKUP(C40,'Project Status'!C:H,6,FALSE)</f>
        <v>WILSON HALL</v>
      </c>
      <c r="E40" t="str">
        <f>VLOOKUP(C40,'Project Status'!C:I,7,FALSE)</f>
        <v>Wilson Hall - Fire Alarm Replacement</v>
      </c>
      <c r="F40" t="str">
        <f>VLOOKUP(C40,'Project Status'!C:J,8,FALSE)</f>
        <v>Design</v>
      </c>
      <c r="G40" t="str">
        <f>VLOOKUP(C40,'Project Status'!C:K,9,FALSE)</f>
        <v>Sean Rewers</v>
      </c>
      <c r="I40" s="191" t="str">
        <f>VLOOKUP(C40,'Project Status'!C:T,18,FALSE)</f>
        <v>TBD</v>
      </c>
      <c r="J40" s="192" t="str">
        <f t="shared" si="2"/>
        <v>TBD</v>
      </c>
      <c r="K40" s="200"/>
    </row>
    <row r="41" spans="1:11" x14ac:dyDescent="0.4">
      <c r="A41" s="203"/>
      <c r="B41" s="110">
        <v>7</v>
      </c>
      <c r="C41">
        <v>20723</v>
      </c>
      <c r="D41" t="str">
        <f>VLOOKUP(C41,'Project Status'!C:H,6,FALSE)</f>
        <v>MRB III BIO/SCI</v>
      </c>
      <c r="E41" t="str">
        <f>VLOOKUP(C41,'Project Status'!C:I,7,FALSE)</f>
        <v>MRB III 4,5,8,9th Floor - Replace Controls (Phase 3)</v>
      </c>
      <c r="F41" t="str">
        <f>VLOOKUP(C41,'Project Status'!C:J,8,FALSE)</f>
        <v>Planning</v>
      </c>
      <c r="G41" t="str">
        <f>VLOOKUP(C41,'Project Status'!C:K,9,FALSE)</f>
        <v>Hans Mooy</v>
      </c>
      <c r="I41" s="191">
        <f>VLOOKUP(C41,'Project Status'!C:T,18,FALSE)</f>
        <v>1339500</v>
      </c>
      <c r="J41" s="192">
        <f t="shared" si="2"/>
        <v>1339500</v>
      </c>
      <c r="K41" s="200"/>
    </row>
    <row r="42" spans="1:11" x14ac:dyDescent="0.4">
      <c r="A42" s="203"/>
      <c r="B42" s="110">
        <v>8</v>
      </c>
      <c r="C42">
        <v>20724</v>
      </c>
      <c r="D42" t="str">
        <f>VLOOKUP(C42,'Project Status'!C:H,6,FALSE)</f>
        <v>BLAIR SCHOOL OF MUSIC</v>
      </c>
      <c r="E42" t="str">
        <f>VLOOKUP(C42,'Project Status'!C:I,7,FALSE)</f>
        <v>Blair School of Music - Steam Line</v>
      </c>
      <c r="F42" t="str">
        <f>VLOOKUP(C42,'Project Status'!C:J,8,FALSE)</f>
        <v>Design</v>
      </c>
      <c r="G42" t="str">
        <f>VLOOKUP(C42,'Project Status'!C:K,9,FALSE)</f>
        <v>Hans Mooy</v>
      </c>
      <c r="I42" s="191">
        <f>VLOOKUP(C42,'Project Status'!C:T,18,FALSE)</f>
        <v>926600</v>
      </c>
      <c r="J42" s="192">
        <f t="shared" si="2"/>
        <v>926600</v>
      </c>
      <c r="K42" s="200"/>
    </row>
    <row r="43" spans="1:11" x14ac:dyDescent="0.4">
      <c r="A43" s="203"/>
      <c r="B43" s="110">
        <v>9</v>
      </c>
      <c r="C43">
        <v>20767</v>
      </c>
      <c r="D43" t="str">
        <f>VLOOKUP(C43,'Project Status'!C:H,6,FALSE)</f>
        <v>SIX MAGNOLIA CIRCLE</v>
      </c>
      <c r="E43" t="str">
        <f>VLOOKUP(C43,'Project Status'!C:I,7,FALSE)</f>
        <v>Six Magnolia Circle - Foundation Repairs</v>
      </c>
      <c r="F43" t="str">
        <f>VLOOKUP(C43,'Project Status'!C:J,8,FALSE)</f>
        <v>Design</v>
      </c>
      <c r="G43" t="str">
        <f>VLOOKUP(C43,'Project Status'!C:K,9,FALSE)</f>
        <v>Sean Rewers</v>
      </c>
      <c r="I43" s="191" t="str">
        <f>VLOOKUP(C43,'Project Status'!C:T,18,FALSE)</f>
        <v>TBD</v>
      </c>
      <c r="J43" s="192" t="str">
        <f t="shared" si="2"/>
        <v>TBD</v>
      </c>
      <c r="K43" s="200"/>
    </row>
    <row r="44" spans="1:11" x14ac:dyDescent="0.4">
      <c r="A44" s="203"/>
      <c r="B44" s="110">
        <v>10</v>
      </c>
      <c r="C44">
        <v>20772</v>
      </c>
      <c r="D44" t="str">
        <f>VLOOKUP(C44,'Project Status'!C:H,6,FALSE)</f>
        <v>OWEN GRAD MGMT</v>
      </c>
      <c r="E44" t="str">
        <f>VLOOKUP(C44,'Project Status'!C:I,7,FALSE)</f>
        <v>Owen - Roof Replacement (Slate Portion)</v>
      </c>
      <c r="F44" t="str">
        <f>VLOOKUP(C44,'Project Status'!C:J,8,FALSE)</f>
        <v>Not Started</v>
      </c>
      <c r="G44" t="str">
        <f>VLOOKUP(C44,'Project Status'!C:K,9,FALSE)</f>
        <v>Ben Bedock</v>
      </c>
      <c r="I44" s="191" t="str">
        <f>VLOOKUP(C44,'Project Status'!C:T,18,FALSE)</f>
        <v>TBD</v>
      </c>
      <c r="J44" s="192" t="str">
        <f t="shared" si="2"/>
        <v>TBD</v>
      </c>
      <c r="K44" s="200"/>
    </row>
    <row r="45" spans="1:11" x14ac:dyDescent="0.4">
      <c r="A45" s="203"/>
      <c r="J45" s="184"/>
      <c r="K45" s="200"/>
    </row>
    <row r="46" spans="1:11" x14ac:dyDescent="0.4">
      <c r="A46" s="203"/>
      <c r="J46" s="184"/>
      <c r="K46" s="200"/>
    </row>
    <row r="47" spans="1:11" x14ac:dyDescent="0.4">
      <c r="A47" s="203"/>
      <c r="J47" s="184"/>
      <c r="K47" s="200"/>
    </row>
    <row r="48" spans="1:11" x14ac:dyDescent="0.4">
      <c r="A48" s="203"/>
      <c r="J48" s="184"/>
      <c r="K48" s="200"/>
    </row>
    <row r="49" spans="1:11" x14ac:dyDescent="0.4">
      <c r="A49" s="203"/>
      <c r="J49" s="184"/>
      <c r="K49" s="200"/>
    </row>
    <row r="50" spans="1:11" x14ac:dyDescent="0.4">
      <c r="A50" s="203"/>
      <c r="J50" s="184"/>
      <c r="K50" s="200"/>
    </row>
    <row r="51" spans="1:11" x14ac:dyDescent="0.4">
      <c r="A51" s="203"/>
      <c r="J51" s="184"/>
      <c r="K51" s="200"/>
    </row>
    <row r="52" spans="1:11" x14ac:dyDescent="0.4">
      <c r="A52" s="203"/>
      <c r="J52" s="184"/>
      <c r="K52" s="200"/>
    </row>
    <row r="53" spans="1:11" x14ac:dyDescent="0.4">
      <c r="A53" s="203"/>
      <c r="J53" s="184"/>
      <c r="K53" s="200"/>
    </row>
    <row r="54" spans="1:11" x14ac:dyDescent="0.4">
      <c r="A54" s="203"/>
      <c r="J54" s="184"/>
      <c r="K54" s="200"/>
    </row>
    <row r="55" spans="1:11" x14ac:dyDescent="0.4">
      <c r="A55" s="203"/>
      <c r="J55" s="184"/>
      <c r="K55" s="200"/>
    </row>
    <row r="56" spans="1:11" x14ac:dyDescent="0.4">
      <c r="H56" s="190">
        <f t="shared" ref="H56:I56" si="3">SUM(H35:H55)</f>
        <v>0</v>
      </c>
      <c r="I56" s="190">
        <f t="shared" si="3"/>
        <v>7295000</v>
      </c>
      <c r="J56" s="190">
        <f>SUM(J35:J55)</f>
        <v>7295000</v>
      </c>
      <c r="K56" s="200"/>
    </row>
    <row r="58" spans="1:11" x14ac:dyDescent="0.4">
      <c r="A58" s="204" t="s">
        <v>355</v>
      </c>
      <c r="B58" s="194"/>
      <c r="C58" s="194" t="s">
        <v>127</v>
      </c>
      <c r="D58" s="194" t="s">
        <v>114</v>
      </c>
      <c r="E58" s="194" t="s">
        <v>87</v>
      </c>
      <c r="F58" s="194" t="s">
        <v>130</v>
      </c>
      <c r="G58" s="194" t="s">
        <v>131</v>
      </c>
      <c r="H58" s="195" t="s">
        <v>274</v>
      </c>
      <c r="I58" s="195" t="s">
        <v>354</v>
      </c>
      <c r="J58" s="194" t="s">
        <v>353</v>
      </c>
      <c r="K58" s="198" t="s">
        <v>356</v>
      </c>
    </row>
    <row r="59" spans="1:11" ht="14.6" customHeight="1" x14ac:dyDescent="0.4">
      <c r="A59" s="204"/>
      <c r="B59" s="110">
        <v>1</v>
      </c>
      <c r="C59">
        <v>10146</v>
      </c>
      <c r="D59" t="str">
        <f>VLOOKUP(C59,'Project Status'!C:H,6,FALSE)</f>
        <v>Godchaux Hall</v>
      </c>
      <c r="E59" t="str">
        <f>VLOOKUP(C59,'Project Status'!C:I,7,FALSE)</f>
        <v>Godchaux Hall - HVAC Upgrade</v>
      </c>
      <c r="F59" t="str">
        <f>VLOOKUP(C59,'Project Status'!C:J,8,FALSE)</f>
        <v>Design</v>
      </c>
      <c r="G59" t="str">
        <f>VLOOKUP(C59,'Project Status'!C:K,9,FALSE)</f>
        <v>Sean Rewers</v>
      </c>
      <c r="I59" s="191" t="str">
        <f>VLOOKUP(C59,'Project Status'!C:U,19,FALSE)</f>
        <v>TBD</v>
      </c>
      <c r="J59" s="192" t="str">
        <f>IF(I59="TBD",I59,SUM(H59:I59))</f>
        <v>TBD</v>
      </c>
      <c r="K59" s="201">
        <f>Contributions!G38</f>
        <v>0</v>
      </c>
    </row>
    <row r="60" spans="1:11" x14ac:dyDescent="0.4">
      <c r="A60" s="204"/>
      <c r="B60" s="110">
        <v>2</v>
      </c>
      <c r="C60">
        <v>20489</v>
      </c>
      <c r="D60" t="str">
        <f>VLOOKUP(C60,'Project Status'!C:H,6,FALSE)</f>
        <v>DIVINITY</v>
      </c>
      <c r="E60" t="str">
        <f>VLOOKUP(C60,'Project Status'!C:I,7,FALSE)</f>
        <v>Divinity - AHU 1N (1&amp;3) Replacement with Benton</v>
      </c>
      <c r="F60" t="str">
        <f>VLOOKUP(C60,'Project Status'!C:J,8,FALSE)</f>
        <v>Design</v>
      </c>
      <c r="G60" t="str">
        <f>VLOOKUP(C60,'Project Status'!C:K,9,FALSE)</f>
        <v>Hans Mooy</v>
      </c>
      <c r="I60" s="191" t="str">
        <f>VLOOKUP(C60,'Project Status'!C:U,19,FALSE)</f>
        <v>TBD</v>
      </c>
      <c r="J60" s="192" t="str">
        <f t="shared" ref="J60:J62" si="4">IF(I60="TBD",I60,SUM(H60:I60))</f>
        <v>TBD</v>
      </c>
      <c r="K60" s="201"/>
    </row>
    <row r="61" spans="1:11" x14ac:dyDescent="0.4">
      <c r="A61" s="204"/>
      <c r="B61" s="110">
        <v>3</v>
      </c>
      <c r="C61">
        <v>20563</v>
      </c>
      <c r="D61" t="str">
        <f>VLOOKUP(C61,'Project Status'!C:H,6,FALSE)</f>
        <v>KECK FREE ELECTRON LASER CTR</v>
      </c>
      <c r="E61" t="str">
        <f>VLOOKUP(C61,'Project Status'!C:I,7,FALSE)</f>
        <v>Keck FEL - Roof Replacement</v>
      </c>
      <c r="F61" t="str">
        <f>VLOOKUP(C61,'Project Status'!C:J,8,FALSE)</f>
        <v>Not Started</v>
      </c>
      <c r="G61" t="str">
        <f>VLOOKUP(C61,'Project Status'!C:K,9,FALSE)</f>
        <v>Ben Bedock</v>
      </c>
      <c r="I61" s="191" t="str">
        <f>VLOOKUP(C61,'Project Status'!C:U,19,FALSE)</f>
        <v>TBD</v>
      </c>
      <c r="J61" s="192" t="str">
        <f t="shared" si="4"/>
        <v>TBD</v>
      </c>
      <c r="K61" s="201"/>
    </row>
    <row r="62" spans="1:11" x14ac:dyDescent="0.4">
      <c r="A62" s="204"/>
      <c r="B62" s="110">
        <v>4</v>
      </c>
      <c r="C62">
        <v>20577</v>
      </c>
      <c r="D62" t="str">
        <f>VLOOKUP(C62,'Project Status'!C:H,6,FALSE)</f>
        <v>BLAIR SCHOOL OF MUSIC</v>
      </c>
      <c r="E62" t="str">
        <f>VLOOKUP(C62,'Project Status'!C:I,7,FALSE)</f>
        <v>Blair School of Music - Air Handling Unit Replacement</v>
      </c>
      <c r="F62" t="str">
        <f>VLOOKUP(C62,'Project Status'!C:J,8,FALSE)</f>
        <v>Design</v>
      </c>
      <c r="G62" t="str">
        <f>VLOOKUP(C62,'Project Status'!C:K,9,FALSE)</f>
        <v>Hans Mooy</v>
      </c>
      <c r="I62" s="191" t="str">
        <f>VLOOKUP(C62,'Project Status'!C:U,19,FALSE)</f>
        <v>TBD</v>
      </c>
      <c r="J62" s="192" t="str">
        <f t="shared" si="4"/>
        <v>TBD</v>
      </c>
      <c r="K62" s="201"/>
    </row>
    <row r="63" spans="1:11" x14ac:dyDescent="0.4">
      <c r="A63" s="204"/>
      <c r="I63" s="191"/>
      <c r="J63" s="192"/>
      <c r="K63" s="201"/>
    </row>
    <row r="64" spans="1:11" x14ac:dyDescent="0.4">
      <c r="A64" s="204"/>
      <c r="I64" s="191"/>
      <c r="J64" s="192"/>
      <c r="K64" s="201"/>
    </row>
    <row r="65" spans="1:11" x14ac:dyDescent="0.4">
      <c r="A65" s="204"/>
      <c r="I65" s="191"/>
      <c r="J65" s="192"/>
      <c r="K65" s="201"/>
    </row>
    <row r="66" spans="1:11" x14ac:dyDescent="0.4">
      <c r="A66" s="204"/>
      <c r="I66" s="191"/>
      <c r="J66" s="192"/>
      <c r="K66" s="201"/>
    </row>
    <row r="67" spans="1:11" x14ac:dyDescent="0.4">
      <c r="A67" s="204"/>
      <c r="I67" s="191"/>
      <c r="J67" s="192"/>
      <c r="K67" s="201"/>
    </row>
    <row r="68" spans="1:11" x14ac:dyDescent="0.4">
      <c r="A68" s="204"/>
      <c r="I68" s="191"/>
      <c r="J68" s="192"/>
      <c r="K68" s="201"/>
    </row>
    <row r="69" spans="1:11" x14ac:dyDescent="0.4">
      <c r="A69" s="204"/>
      <c r="J69" s="184"/>
      <c r="K69" s="201"/>
    </row>
    <row r="70" spans="1:11" x14ac:dyDescent="0.4">
      <c r="A70" s="204"/>
      <c r="J70" s="184"/>
      <c r="K70" s="201"/>
    </row>
    <row r="71" spans="1:11" x14ac:dyDescent="0.4">
      <c r="A71" s="204"/>
      <c r="J71" s="184"/>
      <c r="K71" s="201"/>
    </row>
    <row r="72" spans="1:11" x14ac:dyDescent="0.4">
      <c r="A72" s="204"/>
      <c r="J72" s="184"/>
      <c r="K72" s="201"/>
    </row>
    <row r="73" spans="1:11" x14ac:dyDescent="0.4">
      <c r="A73" s="204"/>
      <c r="J73" s="184"/>
      <c r="K73" s="201"/>
    </row>
    <row r="74" spans="1:11" x14ac:dyDescent="0.4">
      <c r="A74" s="204"/>
      <c r="J74" s="184"/>
      <c r="K74" s="201"/>
    </row>
    <row r="75" spans="1:11" x14ac:dyDescent="0.4">
      <c r="A75" s="204"/>
      <c r="J75" s="184"/>
      <c r="K75" s="201"/>
    </row>
    <row r="76" spans="1:11" x14ac:dyDescent="0.4">
      <c r="A76" s="204"/>
      <c r="J76" s="184"/>
      <c r="K76" s="201"/>
    </row>
    <row r="77" spans="1:11" x14ac:dyDescent="0.4">
      <c r="A77" s="204"/>
      <c r="J77" s="184"/>
      <c r="K77" s="201"/>
    </row>
    <row r="78" spans="1:11" x14ac:dyDescent="0.4">
      <c r="A78" s="204"/>
      <c r="J78" s="184"/>
      <c r="K78" s="201"/>
    </row>
    <row r="79" spans="1:11" x14ac:dyDescent="0.4">
      <c r="A79" s="204"/>
      <c r="J79" s="184"/>
      <c r="K79" s="201"/>
    </row>
    <row r="80" spans="1:11" x14ac:dyDescent="0.4">
      <c r="H80" s="193">
        <f t="shared" ref="H80" si="5">SUM(H59:H79)</f>
        <v>0</v>
      </c>
      <c r="I80" s="193">
        <f t="shared" ref="I80" si="6">SUM(I59:I79)</f>
        <v>0</v>
      </c>
      <c r="J80" s="193">
        <f>SUM(J59:J79)</f>
        <v>0</v>
      </c>
      <c r="K80" s="201"/>
    </row>
  </sheetData>
  <mergeCells count="6">
    <mergeCell ref="K3:K32"/>
    <mergeCell ref="K35:K56"/>
    <mergeCell ref="K59:K80"/>
    <mergeCell ref="A2:A31"/>
    <mergeCell ref="A34:A55"/>
    <mergeCell ref="A58:A7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tint="-0.249977111117893"/>
  </sheetPr>
  <dimension ref="A1:D33"/>
  <sheetViews>
    <sheetView zoomScaleNormal="100" workbookViewId="0">
      <pane ySplit="4" topLeftCell="A5" activePane="bottomLeft" state="frozen"/>
      <selection pane="bottomLeft" activeCell="C10" sqref="C10"/>
    </sheetView>
  </sheetViews>
  <sheetFormatPr defaultRowHeight="14.6" x14ac:dyDescent="0.4"/>
  <cols>
    <col min="1" max="1" width="39.53515625" bestFit="1" customWidth="1"/>
    <col min="2" max="2" width="15.53515625" bestFit="1" customWidth="1"/>
    <col min="3" max="4" width="16" bestFit="1" customWidth="1"/>
  </cols>
  <sheetData>
    <row r="1" spans="1:4" s="8" customFormat="1" x14ac:dyDescent="0.4">
      <c r="A1" s="10" t="s">
        <v>210</v>
      </c>
      <c r="B1"/>
      <c r="C1"/>
    </row>
    <row r="2" spans="1:4" s="8" customFormat="1" x14ac:dyDescent="0.4">
      <c r="A2" s="20"/>
      <c r="B2" s="35"/>
      <c r="C2"/>
    </row>
    <row r="4" spans="1:4" x14ac:dyDescent="0.4">
      <c r="A4" s="26" t="s">
        <v>117</v>
      </c>
      <c r="B4" t="s">
        <v>121</v>
      </c>
      <c r="C4" t="s">
        <v>119</v>
      </c>
      <c r="D4" t="s">
        <v>258</v>
      </c>
    </row>
    <row r="5" spans="1:4" x14ac:dyDescent="0.4">
      <c r="A5" s="27" t="s">
        <v>10</v>
      </c>
      <c r="B5" s="28">
        <v>5166995</v>
      </c>
      <c r="C5" s="28">
        <v>2376208</v>
      </c>
      <c r="D5" s="28">
        <v>1717974</v>
      </c>
    </row>
    <row r="6" spans="1:4" x14ac:dyDescent="0.4">
      <c r="A6" s="22" t="s">
        <v>151</v>
      </c>
      <c r="B6" s="28">
        <v>125875</v>
      </c>
      <c r="C6" s="28">
        <v>125875</v>
      </c>
      <c r="D6" s="28">
        <v>125875</v>
      </c>
    </row>
    <row r="7" spans="1:4" x14ac:dyDescent="0.4">
      <c r="A7" s="22" t="s">
        <v>162</v>
      </c>
      <c r="B7" s="28">
        <v>886870</v>
      </c>
      <c r="C7" s="28">
        <v>886490</v>
      </c>
      <c r="D7" s="28">
        <v>886490</v>
      </c>
    </row>
    <row r="8" spans="1:4" x14ac:dyDescent="0.4">
      <c r="A8" s="22" t="s">
        <v>211</v>
      </c>
      <c r="B8" s="28">
        <v>29250</v>
      </c>
      <c r="C8" s="28">
        <v>29250</v>
      </c>
      <c r="D8" s="28">
        <v>29250</v>
      </c>
    </row>
    <row r="9" spans="1:4" x14ac:dyDescent="0.4">
      <c r="A9" s="22" t="s">
        <v>212</v>
      </c>
      <c r="B9" s="28">
        <v>500000</v>
      </c>
      <c r="C9" s="28">
        <v>499093</v>
      </c>
      <c r="D9" s="28">
        <v>499093</v>
      </c>
    </row>
    <row r="10" spans="1:4" x14ac:dyDescent="0.4">
      <c r="A10" s="22" t="s">
        <v>254</v>
      </c>
      <c r="B10" s="28">
        <v>2910000</v>
      </c>
      <c r="C10" s="28">
        <v>120500</v>
      </c>
      <c r="D10" s="28">
        <v>81100</v>
      </c>
    </row>
    <row r="11" spans="1:4" x14ac:dyDescent="0.4">
      <c r="A11" s="22" t="s">
        <v>280</v>
      </c>
      <c r="B11" s="28">
        <v>715000</v>
      </c>
      <c r="C11" s="28">
        <v>715000</v>
      </c>
      <c r="D11" s="28">
        <v>96166</v>
      </c>
    </row>
    <row r="12" spans="1:4" x14ac:dyDescent="0.4">
      <c r="A12" s="27" t="s">
        <v>12</v>
      </c>
      <c r="B12" s="28">
        <v>5777890</v>
      </c>
      <c r="C12" s="28">
        <v>574290</v>
      </c>
      <c r="D12" s="28">
        <v>574290</v>
      </c>
    </row>
    <row r="13" spans="1:4" x14ac:dyDescent="0.4">
      <c r="A13" s="22" t="s">
        <v>153</v>
      </c>
      <c r="B13" s="28">
        <v>5777890</v>
      </c>
      <c r="C13" s="28">
        <v>574290</v>
      </c>
      <c r="D13" s="28">
        <v>574290</v>
      </c>
    </row>
    <row r="14" spans="1:4" x14ac:dyDescent="0.4">
      <c r="A14" s="27" t="s">
        <v>14</v>
      </c>
      <c r="B14" s="28">
        <v>8101000</v>
      </c>
      <c r="C14" s="28">
        <v>166140</v>
      </c>
      <c r="D14" s="28">
        <v>96362.5</v>
      </c>
    </row>
    <row r="15" spans="1:4" x14ac:dyDescent="0.4">
      <c r="A15" s="22" t="s">
        <v>155</v>
      </c>
      <c r="B15" s="28">
        <v>8101000</v>
      </c>
      <c r="C15" s="28">
        <v>166140</v>
      </c>
      <c r="D15" s="28">
        <v>96362.5</v>
      </c>
    </row>
    <row r="16" spans="1:4" x14ac:dyDescent="0.4">
      <c r="A16" s="27" t="s">
        <v>15</v>
      </c>
      <c r="B16" s="28">
        <v>739000</v>
      </c>
      <c r="C16" s="28">
        <v>353000</v>
      </c>
      <c r="D16" s="28">
        <v>353000</v>
      </c>
    </row>
    <row r="17" spans="1:4" x14ac:dyDescent="0.4">
      <c r="A17" s="22" t="s">
        <v>166</v>
      </c>
      <c r="B17" s="28">
        <v>146500</v>
      </c>
      <c r="C17" s="28">
        <v>146500</v>
      </c>
      <c r="D17" s="28">
        <v>146500</v>
      </c>
    </row>
    <row r="18" spans="1:4" x14ac:dyDescent="0.4">
      <c r="A18" s="22" t="s">
        <v>164</v>
      </c>
      <c r="B18" s="28">
        <v>592500</v>
      </c>
      <c r="C18" s="28">
        <v>206500</v>
      </c>
      <c r="D18" s="28">
        <v>206500</v>
      </c>
    </row>
    <row r="19" spans="1:4" x14ac:dyDescent="0.4">
      <c r="A19" s="27" t="s">
        <v>157</v>
      </c>
      <c r="B19" s="28">
        <v>1845389</v>
      </c>
      <c r="C19" s="28">
        <v>1928829</v>
      </c>
      <c r="D19" s="28">
        <v>1206134.5</v>
      </c>
    </row>
    <row r="20" spans="1:4" x14ac:dyDescent="0.4">
      <c r="A20" s="22" t="s">
        <v>115</v>
      </c>
      <c r="B20" s="28">
        <v>1845389</v>
      </c>
      <c r="C20" s="28">
        <v>1928829</v>
      </c>
      <c r="D20" s="28">
        <v>1206134.5</v>
      </c>
    </row>
    <row r="21" spans="1:4" x14ac:dyDescent="0.4">
      <c r="A21" s="27" t="s">
        <v>21</v>
      </c>
      <c r="B21" s="28">
        <v>2934687.5</v>
      </c>
      <c r="C21" s="28">
        <v>1595187.5</v>
      </c>
      <c r="D21" s="28">
        <v>1595187.5</v>
      </c>
    </row>
    <row r="22" spans="1:4" x14ac:dyDescent="0.4">
      <c r="A22" s="22" t="s">
        <v>150</v>
      </c>
      <c r="B22" s="28">
        <v>2934687.5</v>
      </c>
      <c r="C22" s="28">
        <v>1595187.5</v>
      </c>
      <c r="D22" s="28">
        <v>1595187.5</v>
      </c>
    </row>
    <row r="23" spans="1:4" x14ac:dyDescent="0.4">
      <c r="A23" s="27" t="s">
        <v>28</v>
      </c>
      <c r="B23" s="28">
        <v>3307531.26</v>
      </c>
      <c r="C23" s="28">
        <v>3331372.26</v>
      </c>
      <c r="D23" s="28">
        <v>2953937.76</v>
      </c>
    </row>
    <row r="24" spans="1:4" x14ac:dyDescent="0.4">
      <c r="A24" s="22" t="s">
        <v>156</v>
      </c>
      <c r="B24" s="28">
        <v>456850</v>
      </c>
      <c r="C24" s="28">
        <v>456850</v>
      </c>
      <c r="D24" s="28">
        <v>79415.5</v>
      </c>
    </row>
    <row r="25" spans="1:4" x14ac:dyDescent="0.4">
      <c r="A25" s="22" t="s">
        <v>116</v>
      </c>
      <c r="B25" s="28">
        <v>17500</v>
      </c>
      <c r="C25" s="28">
        <v>22000</v>
      </c>
      <c r="D25" s="28">
        <v>22000</v>
      </c>
    </row>
    <row r="26" spans="1:4" x14ac:dyDescent="0.4">
      <c r="A26" s="22" t="s">
        <v>160</v>
      </c>
      <c r="B26" s="28">
        <v>630554</v>
      </c>
      <c r="C26" s="28">
        <v>630554</v>
      </c>
      <c r="D26" s="28">
        <v>630554</v>
      </c>
    </row>
    <row r="27" spans="1:4" x14ac:dyDescent="0.4">
      <c r="A27" s="22" t="s">
        <v>163</v>
      </c>
      <c r="B27" s="28">
        <v>2202627.2599999998</v>
      </c>
      <c r="C27" s="28">
        <v>2221968.2599999998</v>
      </c>
      <c r="D27" s="28">
        <v>2221968.2599999998</v>
      </c>
    </row>
    <row r="28" spans="1:4" x14ac:dyDescent="0.4">
      <c r="A28" s="22" t="s">
        <v>283</v>
      </c>
      <c r="B28" s="28"/>
      <c r="C28" s="28">
        <v>0</v>
      </c>
      <c r="D28" s="28">
        <v>0</v>
      </c>
    </row>
    <row r="29" spans="1:4" x14ac:dyDescent="0.4">
      <c r="A29" s="27" t="s">
        <v>181</v>
      </c>
      <c r="B29" s="28"/>
      <c r="C29" s="28">
        <v>62100</v>
      </c>
      <c r="D29" s="28">
        <v>4900</v>
      </c>
    </row>
    <row r="30" spans="1:4" x14ac:dyDescent="0.4">
      <c r="A30" s="22" t="s">
        <v>175</v>
      </c>
      <c r="B30" s="28"/>
      <c r="C30" s="28">
        <v>62100</v>
      </c>
      <c r="D30" s="28">
        <v>4900</v>
      </c>
    </row>
    <row r="31" spans="1:4" x14ac:dyDescent="0.4">
      <c r="A31" s="27" t="s">
        <v>26</v>
      </c>
      <c r="B31" s="28">
        <v>300000</v>
      </c>
      <c r="C31" s="28">
        <v>300000</v>
      </c>
      <c r="D31" s="28">
        <v>300000</v>
      </c>
    </row>
    <row r="32" spans="1:4" x14ac:dyDescent="0.4">
      <c r="A32" s="22" t="s">
        <v>252</v>
      </c>
      <c r="B32" s="28">
        <v>300000</v>
      </c>
      <c r="C32" s="28">
        <v>300000</v>
      </c>
      <c r="D32" s="28">
        <v>300000</v>
      </c>
    </row>
    <row r="33" spans="1:4" x14ac:dyDescent="0.4">
      <c r="A33" s="27" t="s">
        <v>118</v>
      </c>
      <c r="B33" s="28">
        <v>28172492.759999998</v>
      </c>
      <c r="C33" s="28">
        <v>10687126.76</v>
      </c>
      <c r="D33" s="28">
        <v>8801786.2599999998</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8"/>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Status'!C:J,8,FALSE)</f>
        <v>Financial Closeout</v>
      </c>
      <c r="G4" s="11" t="str">
        <f>VLOOKUP(A4,'Project Status'!C:K,9,FALSE)</f>
        <v>Sean Rewers</v>
      </c>
      <c r="H4" s="101">
        <f>VLOOKUP(A4,'Project Status'!C:M,11,FALSE)</f>
        <v>22000</v>
      </c>
    </row>
    <row r="8" spans="1:8" x14ac:dyDescent="0.4">
      <c r="E8" s="43" t="s">
        <v>126</v>
      </c>
    </row>
    <row r="9" spans="1:8" x14ac:dyDescent="0.4">
      <c r="E9" s="22" t="s">
        <v>221</v>
      </c>
      <c r="F9" s="35" t="s">
        <v>149</v>
      </c>
      <c r="H9" s="44">
        <v>22000</v>
      </c>
    </row>
    <row r="18" spans="5:8" x14ac:dyDescent="0.4">
      <c r="E18" s="167" t="s">
        <v>293</v>
      </c>
      <c r="F18" s="168"/>
      <c r="G18" s="167"/>
      <c r="H18" s="169">
        <f>SUM(H9:H17)</f>
        <v>22000</v>
      </c>
    </row>
    <row r="20" spans="5:8" x14ac:dyDescent="0.4">
      <c r="E20" s="170" t="s">
        <v>138</v>
      </c>
      <c r="F20" s="170"/>
      <c r="G20" s="170"/>
      <c r="H20" s="171">
        <f>H4-H18</f>
        <v>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8"/>
    <pageSetUpPr fitToPage="1"/>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1.69140625" bestFit="1" customWidth="1"/>
    <col min="6" max="6" width="31.3046875" bestFit="1" customWidth="1"/>
    <col min="7" max="7" width="11"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4th Floor - Replace Controls (Phase 2)</v>
      </c>
      <c r="F4" s="11" t="str">
        <f>VLOOKUP(A4,'Project Status'!C:J,8,FALSE)</f>
        <v>Closeout</v>
      </c>
      <c r="G4" s="11" t="str">
        <f>VLOOKUP(A4,'Project Status'!C:K,9,FALSE)</f>
        <v>Hans Mooy</v>
      </c>
      <c r="H4" s="42">
        <f>VLOOKUP(A4,'Project Status'!C:M,11,FALSE)</f>
        <v>1216485.5</v>
      </c>
    </row>
    <row r="8" spans="1:8" x14ac:dyDescent="0.4">
      <c r="E8" s="43" t="s">
        <v>126</v>
      </c>
    </row>
    <row r="9" spans="1:8" x14ac:dyDescent="0.4">
      <c r="E9" s="22" t="s">
        <v>136</v>
      </c>
      <c r="F9" s="35">
        <v>44769</v>
      </c>
      <c r="H9" s="44">
        <v>1216485.5</v>
      </c>
    </row>
    <row r="13" spans="1:8" x14ac:dyDescent="0.4">
      <c r="F13" s="10"/>
      <c r="G13" s="10"/>
      <c r="H13" s="47"/>
    </row>
    <row r="18" spans="5:8" x14ac:dyDescent="0.4">
      <c r="E18" s="167" t="s">
        <v>293</v>
      </c>
      <c r="F18" s="168"/>
      <c r="G18" s="167"/>
      <c r="H18" s="169">
        <f>SUM(H9:H17)</f>
        <v>1216485.5</v>
      </c>
    </row>
    <row r="20" spans="5:8" x14ac:dyDescent="0.4">
      <c r="E20" s="170" t="s">
        <v>138</v>
      </c>
      <c r="F20" s="170"/>
      <c r="G20" s="170"/>
      <c r="H20" s="171">
        <f>H4-H18</f>
        <v>0</v>
      </c>
    </row>
  </sheetData>
  <pageMargins left="0.7" right="0.7" top="0.75" bottom="0.75" header="0.3" footer="0.3"/>
  <pageSetup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4</vt:i4>
      </vt:variant>
    </vt:vector>
  </HeadingPairs>
  <TitlesOfParts>
    <vt:vector size="44" baseType="lpstr">
      <vt:lpstr>Summary_for Web-1</vt:lpstr>
      <vt:lpstr>Summary_for Web-2</vt:lpstr>
      <vt:lpstr>Shared Building Allocation</vt:lpstr>
      <vt:lpstr>Contributions</vt:lpstr>
      <vt:lpstr>Project Status</vt:lpstr>
      <vt:lpstr>Summary_by FY</vt:lpstr>
      <vt:lpstr>Summary_by School</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20771</vt:lpstr>
      <vt:lpstr>20792</vt:lpstr>
      <vt:lpstr>JE LOG_FY23</vt:lpstr>
      <vt:lpstr>lookup</vt:lpstr>
      <vt:lpstr>PUC GSF</vt:lpstr>
      <vt:lpstr>Notes</vt:lpstr>
      <vt:lpstr>JE</vt:lpstr>
      <vt:lpstr>list</vt:lpstr>
      <vt:lpstr>'Shared Building Allocation'!Print_Area</vt:lpstr>
      <vt:lpstr>'Summary_for Web-2'!Print_Titles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2023-06-12T14:47:27Z</cp:lastPrinted>
  <dcterms:created xsi:type="dcterms:W3CDTF">2021-08-31T18:33:23Z</dcterms:created>
  <dcterms:modified xsi:type="dcterms:W3CDTF">2023-06-14T18:29:56Z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