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mc:AlternateContent xmlns:mc="http://schemas.openxmlformats.org/markup-compatibility/2006">
    <mc:Choice Requires="x15">
      <x15ac:absPath xmlns:x15ac="http://schemas.microsoft.com/office/spreadsheetml/2010/11/ac" url="Y:\FandA\8-Facility_Renewal\Reporting\"/>
    </mc:Choice>
  </mc:AlternateContent>
  <xr:revisionPtr revIDLastSave="0" documentId="13_ncr:1_{8F339817-8049-4C27-A30B-800B8945801F}" xr6:coauthVersionLast="47" xr6:coauthVersionMax="47" xr10:uidLastSave="{00000000-0000-0000-0000-000000000000}"/>
  <bookViews>
    <workbookView xWindow="28680" yWindow="-120" windowWidth="24240" windowHeight="13140" tabRatio="708" activeTab="1" xr2:uid="{382D63A7-A064-43C4-BB7D-7DDF2E98A281}"/>
  </bookViews>
  <sheets>
    <sheet name="Summary_for Web-1" sheetId="18" r:id="rId1"/>
    <sheet name="Summary_for Web-2" sheetId="17" r:id="rId2"/>
    <sheet name="Shared Building Allocation" sheetId="8" r:id="rId3"/>
    <sheet name="Contributions" sheetId="7" r:id="rId4"/>
    <sheet name="Project Status" sheetId="3" r:id="rId5"/>
    <sheet name="Summary_by School" sheetId="9" r:id="rId6"/>
    <sheet name="10085" sheetId="24" r:id="rId7"/>
    <sheet name="10098" sheetId="10" r:id="rId8"/>
    <sheet name="10146" sheetId="29" r:id="rId9"/>
    <sheet name="20179" sheetId="12" r:id="rId10"/>
    <sheet name="20336" sheetId="15" r:id="rId11"/>
    <sheet name="20431" sheetId="20" r:id="rId12"/>
    <sheet name="20497" sheetId="13" r:id="rId13"/>
    <sheet name="20566" sheetId="14" r:id="rId14"/>
    <sheet name="20574" sheetId="21" r:id="rId15"/>
    <sheet name="20577" sheetId="16" r:id="rId16"/>
    <sheet name="20644" sheetId="31" r:id="rId17"/>
    <sheet name="20667" sheetId="19" r:id="rId18"/>
    <sheet name="20668" sheetId="22" r:id="rId19"/>
    <sheet name="20698" sheetId="27" r:id="rId20"/>
    <sheet name="20700" sheetId="30" r:id="rId21"/>
    <sheet name="20702" sheetId="26" r:id="rId22"/>
    <sheet name="JE Log" sheetId="11" r:id="rId23"/>
    <sheet name="lookup" sheetId="25" r:id="rId24"/>
    <sheet name="PUC GSF" sheetId="1" state="hidden" r:id="rId25"/>
    <sheet name="Notes" sheetId="6" state="hidden" r:id="rId26"/>
  </sheets>
  <definedNames>
    <definedName name="_xlnm._FilterDatabase" localSheetId="4" hidden="1">'Project Status'!$A$3:$P$27</definedName>
    <definedName name="JE">'10098'!$E$9:$H$12</definedName>
    <definedName name="_xlnm.Print_Area" localSheetId="2">'Shared Building Allocation'!$A$1:$G$15</definedName>
    <definedName name="Slicer_Building">#N/A</definedName>
    <definedName name="Slicer_Capex___opex">#N/A</definedName>
    <definedName name="Slicer_Lookup">#N/A</definedName>
  </definedNames>
  <calcPr calcId="191029"/>
  <pivotCaches>
    <pivotCache cacheId="6" r:id="rId27"/>
  </pivotCaches>
  <extLst>
    <ext xmlns:x14="http://schemas.microsoft.com/office/spreadsheetml/2009/9/main" uri="{BBE1A952-AA13-448e-AADC-164F8A28A991}">
      <x14:slicerCaches>
        <x14:slicerCache r:id="rId28"/>
        <x14:slicerCache r:id="rId29"/>
        <x14:slicerCache r:id="rId3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4" l="1"/>
  <c r="C13" i="11"/>
  <c r="H15" i="20"/>
  <c r="H14" i="20"/>
  <c r="H13" i="20"/>
  <c r="H12" i="20"/>
  <c r="D7" i="17"/>
  <c r="E7" i="17"/>
  <c r="F7" i="17"/>
  <c r="G7" i="17"/>
  <c r="B7" i="17"/>
  <c r="Q5" i="3"/>
  <c r="G5" i="3"/>
  <c r="Q10" i="3"/>
  <c r="G12" i="17" s="1"/>
  <c r="Q18" i="3"/>
  <c r="G20" i="17" s="1"/>
  <c r="Q11" i="3"/>
  <c r="G10" i="17"/>
  <c r="G13" i="17"/>
  <c r="G14" i="17"/>
  <c r="G17" i="17"/>
  <c r="G19" i="17"/>
  <c r="G22" i="17"/>
  <c r="G23" i="17"/>
  <c r="G24" i="17"/>
  <c r="G25" i="17"/>
  <c r="G26" i="17"/>
  <c r="G27" i="17"/>
  <c r="Q19" i="3"/>
  <c r="G21" i="17" s="1"/>
  <c r="Q9" i="3"/>
  <c r="G11" i="17" s="1"/>
  <c r="Q14" i="3"/>
  <c r="G16" i="17" s="1"/>
  <c r="Q7" i="3"/>
  <c r="G9" i="17" s="1"/>
  <c r="K13" i="20"/>
  <c r="J13" i="20"/>
  <c r="H4" i="31"/>
  <c r="H13" i="31" s="1"/>
  <c r="G4" i="31"/>
  <c r="F4" i="31"/>
  <c r="E4" i="31"/>
  <c r="D4" i="31"/>
  <c r="C4" i="31"/>
  <c r="B4" i="31"/>
  <c r="H4" i="30"/>
  <c r="H13" i="30" s="1"/>
  <c r="G4" i="30"/>
  <c r="F4" i="30"/>
  <c r="E4" i="30"/>
  <c r="D4" i="30"/>
  <c r="C4" i="30"/>
  <c r="B4" i="30"/>
  <c r="D13" i="17"/>
  <c r="E13" i="17"/>
  <c r="F13" i="17"/>
  <c r="B13" i="17"/>
  <c r="Q26" i="3" l="1"/>
  <c r="G28" i="17" s="1"/>
  <c r="Q16" i="3"/>
  <c r="G18" i="17" s="1"/>
  <c r="Q13" i="3"/>
  <c r="G15" i="17" s="1"/>
  <c r="Q6" i="3"/>
  <c r="G8" i="17" s="1"/>
  <c r="Q4" i="3"/>
  <c r="G6" i="17" s="1"/>
  <c r="H4" i="10"/>
  <c r="H4" i="12"/>
  <c r="H4" i="15"/>
  <c r="H4" i="13"/>
  <c r="H4" i="14"/>
  <c r="H4" i="16"/>
  <c r="H4" i="19"/>
  <c r="H4" i="20"/>
  <c r="H4" i="21"/>
  <c r="H4" i="22"/>
  <c r="H4" i="24"/>
  <c r="H4" i="26"/>
  <c r="H4" i="27"/>
  <c r="H4" i="29"/>
  <c r="H13" i="29" s="1"/>
  <c r="H11" i="29"/>
  <c r="H11" i="27"/>
  <c r="E10" i="17"/>
  <c r="F10" i="17"/>
  <c r="E11" i="17"/>
  <c r="F11" i="17"/>
  <c r="E12" i="17"/>
  <c r="F12" i="17"/>
  <c r="E14" i="17"/>
  <c r="F14" i="17"/>
  <c r="E15" i="17"/>
  <c r="F15" i="17"/>
  <c r="B10" i="17"/>
  <c r="B11" i="17"/>
  <c r="B12" i="17"/>
  <c r="B14" i="17"/>
  <c r="B15" i="17"/>
  <c r="L27" i="3" l="1"/>
  <c r="Q27" i="3"/>
  <c r="N27" i="3"/>
  <c r="O27" i="3"/>
  <c r="P27" i="3"/>
  <c r="M27" i="3"/>
  <c r="H11" i="14"/>
  <c r="G4" i="29"/>
  <c r="F4" i="29"/>
  <c r="E4" i="29"/>
  <c r="D4" i="29"/>
  <c r="C4" i="29"/>
  <c r="B4" i="29"/>
  <c r="H13" i="27"/>
  <c r="G4" i="27"/>
  <c r="F4" i="27"/>
  <c r="E4" i="27"/>
  <c r="D4" i="27"/>
  <c r="C4" i="27"/>
  <c r="B4" i="27"/>
  <c r="H12" i="15"/>
  <c r="G26" i="3"/>
  <c r="H13" i="26"/>
  <c r="G4" i="26"/>
  <c r="F4" i="26"/>
  <c r="E4" i="26"/>
  <c r="D4" i="26"/>
  <c r="C4" i="26"/>
  <c r="B4" i="26"/>
  <c r="H12" i="7"/>
  <c r="B14" i="7"/>
  <c r="G14" i="7"/>
  <c r="H18" i="7"/>
  <c r="G25" i="3"/>
  <c r="G24" i="3"/>
  <c r="G23" i="3"/>
  <c r="G4" i="24"/>
  <c r="F4" i="24"/>
  <c r="E4" i="24"/>
  <c r="D4" i="24"/>
  <c r="C4" i="24"/>
  <c r="B4" i="24"/>
  <c r="H13" i="22"/>
  <c r="G4" i="22"/>
  <c r="F4" i="22"/>
  <c r="E4" i="22"/>
  <c r="D4" i="22"/>
  <c r="C4" i="22"/>
  <c r="B4" i="22"/>
  <c r="H13" i="21"/>
  <c r="G4" i="21"/>
  <c r="F4" i="21"/>
  <c r="E4" i="21"/>
  <c r="D4" i="21"/>
  <c r="C4" i="21"/>
  <c r="B4" i="21"/>
  <c r="G4" i="20"/>
  <c r="F4" i="20"/>
  <c r="E4" i="20"/>
  <c r="D4" i="20"/>
  <c r="C4" i="20"/>
  <c r="B4" i="20"/>
  <c r="H13" i="19"/>
  <c r="G4" i="19"/>
  <c r="F4" i="19"/>
  <c r="E4" i="19"/>
  <c r="D4" i="19"/>
  <c r="C4" i="19"/>
  <c r="B4" i="19"/>
  <c r="G4" i="16"/>
  <c r="F4" i="16"/>
  <c r="E4" i="16"/>
  <c r="D4" i="16"/>
  <c r="C4" i="16"/>
  <c r="B4" i="16"/>
  <c r="H13" i="14"/>
  <c r="G4" i="14"/>
  <c r="F4" i="14"/>
  <c r="E4" i="14"/>
  <c r="D4" i="14"/>
  <c r="C4" i="14"/>
  <c r="B4" i="14"/>
  <c r="G4" i="13"/>
  <c r="F4" i="13"/>
  <c r="E4" i="13"/>
  <c r="D4" i="13"/>
  <c r="C4" i="13"/>
  <c r="B4" i="13"/>
  <c r="H14" i="15"/>
  <c r="G4" i="15"/>
  <c r="F4" i="15"/>
  <c r="E4" i="15"/>
  <c r="D4" i="15"/>
  <c r="C4" i="15"/>
  <c r="B4" i="15"/>
  <c r="G4" i="12"/>
  <c r="F4" i="12"/>
  <c r="E4" i="12"/>
  <c r="D4" i="12"/>
  <c r="C4" i="12"/>
  <c r="B4" i="12"/>
  <c r="G4" i="10"/>
  <c r="F4" i="10"/>
  <c r="E4" i="10"/>
  <c r="D4" i="10"/>
  <c r="C4" i="10"/>
  <c r="B4" i="10"/>
  <c r="E24" i="17"/>
  <c r="F24" i="17"/>
  <c r="B24" i="17"/>
  <c r="B18" i="17"/>
  <c r="B16" i="17"/>
  <c r="B9" i="17"/>
  <c r="B19" i="17"/>
  <c r="B21" i="17"/>
  <c r="B17" i="17"/>
  <c r="B28" i="17"/>
  <c r="B8" i="17"/>
  <c r="B23" i="17"/>
  <c r="B6" i="17"/>
  <c r="B20" i="17"/>
  <c r="B25" i="17"/>
  <c r="B22" i="17"/>
  <c r="B26" i="17"/>
  <c r="B27" i="17"/>
  <c r="F18" i="17"/>
  <c r="F16" i="17"/>
  <c r="F9" i="17"/>
  <c r="F19" i="17"/>
  <c r="F21" i="17"/>
  <c r="F17" i="17"/>
  <c r="F28" i="17"/>
  <c r="F8" i="17"/>
  <c r="F23" i="17"/>
  <c r="F6" i="17"/>
  <c r="F20" i="17"/>
  <c r="F25" i="17"/>
  <c r="F22" i="17"/>
  <c r="F26" i="17"/>
  <c r="F27" i="17"/>
  <c r="E18" i="17"/>
  <c r="E16" i="17"/>
  <c r="E9" i="17"/>
  <c r="E19" i="17"/>
  <c r="E21" i="17"/>
  <c r="E17" i="17"/>
  <c r="E28" i="17"/>
  <c r="E8" i="17"/>
  <c r="E23" i="17"/>
  <c r="E6" i="17"/>
  <c r="E20" i="17"/>
  <c r="E25" i="17"/>
  <c r="E22" i="17"/>
  <c r="E26" i="17"/>
  <c r="E27" i="17"/>
  <c r="G6" i="3"/>
  <c r="G7" i="3"/>
  <c r="G8" i="3"/>
  <c r="G9" i="3"/>
  <c r="G10" i="3"/>
  <c r="G12" i="3"/>
  <c r="G14" i="3"/>
  <c r="G15" i="3"/>
  <c r="G16" i="3"/>
  <c r="G17" i="3"/>
  <c r="G18" i="3"/>
  <c r="D20" i="17" s="1"/>
  <c r="G19" i="3"/>
  <c r="G20" i="3"/>
  <c r="G21" i="3"/>
  <c r="G22" i="3"/>
  <c r="D26" i="17" s="1"/>
  <c r="G13" i="3"/>
  <c r="D15" i="17" s="1"/>
  <c r="G4" i="3"/>
  <c r="C6" i="8"/>
  <c r="C7" i="8"/>
  <c r="C8" i="8"/>
  <c r="C9" i="8"/>
  <c r="C10" i="8"/>
  <c r="C11" i="8"/>
  <c r="C12" i="8"/>
  <c r="C13" i="8"/>
  <c r="C5" i="8"/>
  <c r="D20" i="8"/>
  <c r="D22" i="8" s="1"/>
  <c r="H9" i="20"/>
  <c r="K11" i="20"/>
  <c r="K10" i="20"/>
  <c r="J11" i="20"/>
  <c r="H11" i="20" s="1"/>
  <c r="J10" i="20"/>
  <c r="H10" i="20" s="1"/>
  <c r="G4" i="11" l="1"/>
  <c r="C19" i="11" s="1"/>
  <c r="C12" i="11"/>
  <c r="C11" i="11"/>
  <c r="C9" i="11"/>
  <c r="C10" i="11"/>
  <c r="D23" i="17"/>
  <c r="H17" i="20"/>
  <c r="D10" i="8"/>
  <c r="D22" i="17"/>
  <c r="D5" i="8"/>
  <c r="D18" i="17"/>
  <c r="D25" i="17"/>
  <c r="D8" i="17"/>
  <c r="D28" i="17"/>
  <c r="D17" i="17"/>
  <c r="D14" i="17"/>
  <c r="D21" i="17"/>
  <c r="D12" i="17"/>
  <c r="D19" i="17"/>
  <c r="D11" i="17"/>
  <c r="D9" i="17"/>
  <c r="D10" i="17"/>
  <c r="D6" i="17"/>
  <c r="D16" i="17"/>
  <c r="H7" i="7"/>
  <c r="H8" i="7"/>
  <c r="H13" i="7"/>
  <c r="H6" i="7"/>
  <c r="H9" i="7"/>
  <c r="H10" i="7"/>
  <c r="H5" i="7"/>
  <c r="H11" i="7"/>
  <c r="H14" i="7"/>
  <c r="H17" i="7" s="1"/>
  <c r="H19" i="7" s="1"/>
  <c r="D7" i="8"/>
  <c r="D6" i="8"/>
  <c r="G29" i="17"/>
  <c r="F29" i="17"/>
  <c r="D13" i="8"/>
  <c r="D27" i="17"/>
  <c r="D9" i="8"/>
  <c r="D24" i="17"/>
  <c r="D8" i="8"/>
  <c r="D12" i="8"/>
  <c r="D11" i="8"/>
  <c r="C18" i="7"/>
  <c r="B14" i="18"/>
  <c r="B13" i="18"/>
  <c r="B12" i="18"/>
  <c r="B11" i="18"/>
  <c r="B10" i="18"/>
  <c r="B9" i="18"/>
  <c r="B8" i="18"/>
  <c r="B7" i="18"/>
  <c r="B6" i="18"/>
  <c r="H13" i="16" l="1"/>
  <c r="H10" i="13" l="1"/>
  <c r="H10" i="12"/>
  <c r="H11" i="12" s="1"/>
  <c r="H13" i="12" s="1"/>
  <c r="H13" i="10"/>
  <c r="F8" i="8"/>
  <c r="D9" i="18" s="1"/>
  <c r="F11" i="8"/>
  <c r="D12" i="18" s="1"/>
  <c r="F12" i="8"/>
  <c r="D13" i="18" s="1"/>
  <c r="B6" i="8"/>
  <c r="B7" i="8"/>
  <c r="B8" i="8"/>
  <c r="B9" i="8"/>
  <c r="B10" i="8"/>
  <c r="B11" i="8"/>
  <c r="B12" i="8"/>
  <c r="B13" i="8"/>
  <c r="B5" i="8"/>
  <c r="F9" i="8" l="1"/>
  <c r="D10" i="18" s="1"/>
  <c r="H11" i="13"/>
  <c r="H13" i="13" s="1"/>
  <c r="C14" i="18"/>
  <c r="C11" i="18"/>
  <c r="C8" i="18"/>
  <c r="C7" i="18"/>
  <c r="C6" i="18"/>
  <c r="G8" i="8" l="1"/>
  <c r="C9" i="18"/>
  <c r="E9" i="18" s="1"/>
  <c r="G9" i="8"/>
  <c r="C10" i="18"/>
  <c r="E10" i="18" s="1"/>
  <c r="G11" i="8"/>
  <c r="C12" i="18"/>
  <c r="E12" i="18" s="1"/>
  <c r="G12" i="8"/>
  <c r="C13" i="18"/>
  <c r="E13" i="18" s="1"/>
  <c r="C17" i="11"/>
  <c r="C21" i="11" s="1"/>
  <c r="C14" i="8"/>
  <c r="C14" i="7"/>
  <c r="C17" i="7" l="1"/>
  <c r="C19" i="7" s="1"/>
  <c r="C4" i="11"/>
  <c r="C5" i="11" s="1"/>
  <c r="C15" i="18"/>
  <c r="F7" i="8"/>
  <c r="F13" i="8"/>
  <c r="F6" i="8"/>
  <c r="G7" i="8" l="1"/>
  <c r="D8" i="18"/>
  <c r="E8" i="18" s="1"/>
  <c r="G6" i="8"/>
  <c r="D7" i="18"/>
  <c r="E7" i="18" s="1"/>
  <c r="G13" i="8"/>
  <c r="D14" i="18"/>
  <c r="E14" i="18" s="1"/>
  <c r="D14" i="8"/>
  <c r="D23" i="8" l="1"/>
  <c r="D41" i="1"/>
  <c r="D24" i="8" l="1"/>
  <c r="E10" i="8"/>
  <c r="F10" i="8" s="1"/>
  <c r="E5" i="8"/>
  <c r="F5" i="8" s="1"/>
  <c r="D6" i="18" s="1"/>
  <c r="E6" i="18" l="1"/>
  <c r="G10" i="8"/>
  <c r="D11" i="18"/>
  <c r="E11" i="18" s="1"/>
  <c r="F14" i="8"/>
  <c r="G5" i="8"/>
  <c r="G14" i="8" l="1"/>
  <c r="E15" i="18"/>
  <c r="D15" i="18"/>
</calcChain>
</file>

<file path=xl/sharedStrings.xml><?xml version="1.0" encoding="utf-8"?>
<sst xmlns="http://schemas.openxmlformats.org/spreadsheetml/2006/main" count="733" uniqueCount="283">
  <si>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</si>
  <si>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</si>
  <si>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</si>
  <si>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</si>
  <si>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</si>
  <si>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</si>
  <si>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</si>
  <si>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</si>
  <si>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</si>
  <si>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</si>
  <si>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</si>
  <si>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</si>
  <si>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</si>
  <si>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</si>
  <si>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</si>
  <si>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</si>
  <si>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</si>
  <si>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</si>
  <si>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</si>
  <si>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</si>
  <si>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</si>
  <si>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</si>
  <si>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</si>
  <si>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</si>
  <si>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</si>
  <si>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</si>
  <si>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</si>
  <si>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</si>
  <si>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</si>
  <si>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</si>
  <si>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</si>
  <si>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</si>
  <si>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</si>
  <si>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</si>
  <si>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</si>
  <si>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</si>
  <si>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</si>
  <si>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</si>
  <si>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</si>
  <si>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</si>
  <si>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</si>
  <si>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</si>
  <si>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</si>
  <si>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</si>
  <si>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</si>
  <si>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</si>
  <si>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</si>
  <si>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</si>
  <si>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</si>
  <si>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</si>
  <si>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</si>
  <si>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</si>
  <si>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</si>
  <si>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</si>
  <si>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</si>
  <si>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</si>
  <si>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</si>
  <si>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</si>
  <si>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</si>
  <si>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</si>
  <si>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</si>
  <si>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</si>
  <si>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</si>
  <si>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</si>
  <si>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</si>
  <si>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</si>
  <si>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</si>
  <si>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</si>
  <si>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</si>
  <si>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</si>
  <si>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</si>
  <si>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</si>
  <si>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</si>
  <si>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</si>
  <si>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</si>
  <si>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</si>
  <si>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</si>
  <si>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</si>
  <si>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</si>
  <si>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</si>
  <si>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</si>
  <si>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</si>
  <si>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</si>
  <si>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</si>
  <si>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</si>
  <si>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</si>
  <si>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</si>
  <si>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</si>
  <si>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</si>
  <si>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</si>
  <si>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</si>
  <si>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</si>
  <si>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</si>
  <si>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</si>
  <si>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</si>
  <si>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</si>
  <si>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</si>
  <si>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</si>
  <si>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</si>
  <si>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</si>
  <si>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</si>
  <si>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</si>
  <si>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</si>
  <si>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</si>
  <si>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</si>
  <si>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</si>
  <si>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</si>
  <si>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</si>
  <si>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</si>
  <si>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</si>
  <si>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</si>
  <si>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</si>
  <si>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</si>
  <si>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</si>
  <si>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</si>
  <si>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Law School</t>
  </si>
  <si>
    <t>One Magnolia Circle</t>
  </si>
  <si>
    <t>Row Labels</t>
  </si>
  <si>
    <t>Grand Total</t>
  </si>
  <si>
    <t>Approved_Budget</t>
  </si>
  <si>
    <t>Projects in MRBIII to be split 65% School of Medicine Basic Sciences / 35% Arts &amp; Sciences</t>
  </si>
  <si>
    <t>Estimated Budget</t>
  </si>
  <si>
    <t>A&amp;S</t>
  </si>
  <si>
    <t>SOM</t>
  </si>
  <si>
    <t>MRB III Adj</t>
  </si>
  <si>
    <t>Revised Projects</t>
  </si>
  <si>
    <t>Contribution vs. Projects</t>
  </si>
  <si>
    <t>Remaining funds</t>
  </si>
  <si>
    <t>Funding transfers</t>
  </si>
  <si>
    <t>Capex / opex</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</si>
  <si>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</si>
  <si>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</si>
  <si>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</si>
  <si>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</si>
  <si>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</si>
  <si>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</si>
  <si>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</si>
  <si>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</si>
  <si>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</si>
  <si>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</si>
  <si>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</si>
  <si>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</si>
  <si>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</si>
  <si>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</si>
  <si>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</si>
  <si>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</si>
  <si>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Journal entries to be processed</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</si>
  <si>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</si>
  <si>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</si>
  <si>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</si>
  <si>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</si>
  <si>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</si>
  <si>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</si>
  <si>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</si>
  <si>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</si>
  <si>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</si>
  <si>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</si>
  <si>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</si>
  <si>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</si>
  <si>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</si>
  <si>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</si>
  <si>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</si>
  <si>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MRB III 4th Floor - Replace Controls (Phase 2 of 5)</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</si>
  <si>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</si>
  <si>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</si>
  <si>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</si>
  <si>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</si>
  <si>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</si>
  <si>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</si>
  <si>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</si>
  <si>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</si>
  <si>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</si>
  <si>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</si>
  <si>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</si>
  <si>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Total program</t>
  </si>
  <si>
    <t>eBuilder Project No</t>
  </si>
  <si>
    <t>Project Phase</t>
  </si>
  <si>
    <t>Project Description</t>
  </si>
  <si>
    <t>(1)</t>
  </si>
  <si>
    <t>(2)</t>
  </si>
  <si>
    <t>Project Spend</t>
  </si>
  <si>
    <t>Godchaux Hall</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</si>
  <si>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</si>
  <si>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</si>
  <si>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</si>
  <si>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</si>
  <si>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</si>
  <si>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</si>
  <si>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</si>
  <si>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</si>
  <si>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</si>
  <si>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</si>
  <si>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</si>
  <si>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</si>
  <si>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</si>
  <si>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</si>
  <si>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</si>
  <si>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Air Handling Unit Replacement</t>
  </si>
  <si>
    <t>Law School - Fire Alarm System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</si>
  <si>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</si>
  <si>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</si>
  <si>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</si>
  <si>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</si>
  <si>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</si>
  <si>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</si>
  <si>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Wyatt Center - Window Replacement (4th Floor)</t>
  </si>
  <si>
    <t>(less) tbd</t>
  </si>
  <si>
    <t>Summary</t>
  </si>
  <si>
    <t>Arts &amp; Science</t>
  </si>
  <si>
    <t>20000 - OWEN</t>
  </si>
  <si>
    <t>Owen</t>
  </si>
  <si>
    <t>Blair</t>
  </si>
  <si>
    <t>Divinity</t>
  </si>
  <si>
    <t>Engineering</t>
  </si>
  <si>
    <t>Law</t>
  </si>
  <si>
    <t>Nursing</t>
  </si>
  <si>
    <t>SOM Basic Sciences</t>
  </si>
  <si>
    <t>Peabody</t>
  </si>
  <si>
    <t>Lookup</t>
  </si>
  <si>
    <t>Facility Renewal Program: Interactive Pivot Table</t>
  </si>
  <si>
    <t>WILSON HALL</t>
  </si>
  <si>
    <t>SC SCIENCE &amp; ENGINEERING</t>
  </si>
  <si>
    <t>Godchaux Hall - HVAC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</si>
  <si>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</si>
  <si>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</si>
  <si>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</si>
  <si>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</si>
  <si>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</si>
  <si>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</si>
  <si>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OGSM - roof replacement (areas not impacted by remodel) ~$200k</t>
  </si>
  <si>
    <t>CP_400168</t>
  </si>
  <si>
    <t>BAC-2</t>
  </si>
  <si>
    <t>crowhus_10312022_FRP</t>
  </si>
  <si>
    <t>TBD</t>
  </si>
  <si>
    <t>Divinity - AHU 5N (5 &amp; 6) Replacement with Benton</t>
  </si>
  <si>
    <t>CP_400164</t>
  </si>
  <si>
    <t>Wilson Hall - Fire Alarm Replacement</t>
  </si>
  <si>
    <t>Anticipated FRP funding</t>
  </si>
  <si>
    <t>N/A</t>
  </si>
  <si>
    <t>FY22 invoices covered by VUSN</t>
  </si>
  <si>
    <t xml:space="preserve">Divinity - AHU 1N (1 &amp; 3) Replacement </t>
  </si>
  <si>
    <t>FRP_Funding</t>
  </si>
  <si>
    <t/>
  </si>
  <si>
    <t>CP_400170</t>
  </si>
  <si>
    <t>CP_400171</t>
  </si>
  <si>
    <t>Peabody Administration - Envelope Repairs</t>
  </si>
  <si>
    <t>BAC-8</t>
  </si>
  <si>
    <t>SC Chemistry (SC7) - Steam Generator 1 Removal and Connection to Central Plant Steam</t>
  </si>
  <si>
    <t>SC Science &amp; Engineering (SC5) - Chemical Discharge Replacement</t>
  </si>
  <si>
    <t>Projects to be discussed</t>
  </si>
  <si>
    <t>11/22/2022 Walkthrough with ICT has been completed, feasibility study should come back in early December.</t>
  </si>
  <si>
    <t>11/22/2022 Construction continues. Project should be complete mid-February 2023.</t>
  </si>
  <si>
    <t>11/22/2022 Added scope for design/engineering of HHW for Godchaux/Frist approved. Design/engineering underway with completion of CDs scheduled for 12/15/22.</t>
  </si>
  <si>
    <t>Invoices Approved</t>
  </si>
  <si>
    <t>11/28/2022 Work is completed awaiting fire marshal sign off after exams are completed.</t>
  </si>
  <si>
    <t>11/22/2022 PO has been issued. Preliminary design drawings have been submitted for the elevator. Alternates have been approved. Elevator mechanical room to be relocated out to the upper patio. Construction to start summer of 2023.</t>
  </si>
  <si>
    <t>11/28/2022 Design meetings continue</t>
  </si>
  <si>
    <t>11/28/2022 Design to continue after 5N goes to bid.</t>
  </si>
  <si>
    <t>11/22/2022 Final construction to be completed over winter break. Hatch installation, window replacement, and final metal work to be completed.</t>
  </si>
  <si>
    <t>11/22/2022 Working with appropriate parties to determine scope of work. Summer 2023 construction</t>
  </si>
  <si>
    <t>11/28/2022 Project walkthrough was completed and bids should be received by the end of the month. Working with JCI for updated controls pricing. Construction still planned for summer 2023.</t>
  </si>
  <si>
    <t>11/22/2022 Project has been awarded to Oracle/Premier elevator. PO process is currently underway. Just received Provost approval so PO can move forward. Construction to be completed over summer.</t>
  </si>
  <si>
    <t>11/22/2022 Addendum to scope is currently being developed. Project is currently out to bid.</t>
  </si>
  <si>
    <t>11/28/2022 Coils are being ordered and require about 6 weeks lead time. Construction should be starting in the first of the year 2023.</t>
  </si>
  <si>
    <t>11/22/2022 Approval to continue design...meetings continue.</t>
  </si>
  <si>
    <t>11/22/2022 PO is currently underway for testing of the windows for hazardous materials. Once results have been submitted, scope can be developed for the windows followed by the bidding process.</t>
  </si>
  <si>
    <t>11/22/2022 Met with appropriate parties to determine scope of work. Scope to be written and project to go out to bid. Work to be completed summer 2023.</t>
  </si>
  <si>
    <t>11/28/2022 Design PO is through and user meetings are being set up with the occupants. After these meetings well have a better idea where the project is heading and will begin the design.</t>
  </si>
  <si>
    <t>11/28/2022 Design PO has been issued and user meetings are being set-up now. After these user meetings we will have a better idea on the direction we are taking the project.</t>
  </si>
  <si>
    <t>11/28/2022 Design walkthrough has been completed, Awaiting drawings from Enfinity Engineering, which should be completed in early December.</t>
  </si>
  <si>
    <t>11/22/2022 Awaiting a contact for the existing system. During our walkthrough we noticed some damage to the existing system that was not covered in the current design. A new design may need to be done to completely remove existing and install a small, less intricate system.</t>
  </si>
  <si>
    <t>11/28/2022 Awaiting a contact for the original chemical discharge system. There was some damage noted to the existing tanks which may mean we have to redesign the entire system.</t>
  </si>
  <si>
    <t>11/22/2022 Project currently out to bid.</t>
  </si>
  <si>
    <t>Bidding</t>
  </si>
  <si>
    <t>Estimated 
Total Budget</t>
  </si>
  <si>
    <t xml:space="preserve">Estimated 
FY23 FRP </t>
  </si>
  <si>
    <t>CP_400007</t>
  </si>
  <si>
    <t>MRB III 9th Floor - Replace Controls (Phase 3 of 5) ~1.5m</t>
  </si>
  <si>
    <t xml:space="preserve">Bryan building - HVAC, domestic water line replacement ~TBD </t>
  </si>
  <si>
    <t>Blair School of Music - Replace Boiler</t>
  </si>
  <si>
    <t>11/30/2022 Project activated. AEI and Envision reviewing drawings for steam connection and HW/CW as alternate cost.</t>
  </si>
  <si>
    <t>crowhus_11302022_FRP</t>
  </si>
  <si>
    <t>to be covered by Dean of Students (DOS) BAC-8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</si>
</sst>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s>
  <fonts count="21"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0"/>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s>
  <fills count="23">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s>
  <borders count="8">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9" fillId="22" borderId="5">
      <alignment horizontal="left" vertical="center" wrapText="1"/>
    </xf>
  </cellStyleXfs>
  <cellXfs count="152">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Font="1" applyBorder="1" applyAlignment="1">
      <alignment wrapText="1"/>
    </xf>
    <xf numFmtId="0" fontId="0" fillId="0" borderId="0" xfId="0" applyFont="1" applyBorder="1" applyAlignment="1"/>
    <xf numFmtId="0" fontId="6" fillId="8" borderId="0" xfId="0" applyFont="1" applyFill="1" applyBorder="1" applyAlignment="1">
      <alignment horizontal="center" vertical="center" wrapText="1" readingOrder="1"/>
    </xf>
    <xf numFmtId="0" fontId="4" fillId="0" borderId="0" xfId="0" applyFont="1" applyBorder="1" applyAlignment="1"/>
    <xf numFmtId="0" fontId="3" fillId="0" borderId="0" xfId="0" applyFont="1" applyBorder="1" applyAlignment="1">
      <alignment horizontal="left" vertical="center" readingOrder="1"/>
    </xf>
    <xf numFmtId="166" fontId="9" fillId="0" borderId="0" xfId="2" applyNumberFormat="1" applyFont="1" applyBorder="1" applyAlignment="1">
      <alignment horizontal="center"/>
    </xf>
    <xf numFmtId="0" fontId="2" fillId="9" borderId="0" xfId="0" applyFont="1" applyFill="1" applyBorder="1" applyAlignment="1"/>
    <xf numFmtId="0" fontId="2" fillId="9" borderId="0" xfId="0" applyFont="1" applyFill="1" applyBorder="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Font="1" applyBorder="1" applyAlignment="1"/>
    <xf numFmtId="167" fontId="0" fillId="0" borderId="0" xfId="0" applyNumberFormat="1" applyFont="1" applyBorder="1" applyAlignment="1">
      <alignment horizontal="left"/>
    </xf>
    <xf numFmtId="0" fontId="12" fillId="0" borderId="0" xfId="0" applyFont="1" applyBorder="1" applyAlignment="1"/>
    <xf numFmtId="164" fontId="0" fillId="0" borderId="0" xfId="1" applyNumberFormat="1" applyFont="1"/>
    <xf numFmtId="0" fontId="0" fillId="0" borderId="0" xfId="0" applyAlignment="1">
      <alignment horizontal="left" indent="1"/>
    </xf>
    <xf numFmtId="0" fontId="0" fillId="0" borderId="0" xfId="0" applyFont="1"/>
    <xf numFmtId="164" fontId="2" fillId="6" borderId="0" xfId="4" applyNumberFormat="1" applyFont="1" applyFill="1"/>
    <xf numFmtId="168" fontId="2" fillId="6" borderId="0" xfId="4" applyNumberFormat="1" applyFont="1" applyFill="1"/>
    <xf numFmtId="164" fontId="6" fillId="6" borderId="0" xfId="4" applyNumberFormat="1" applyFont="1" applyFill="1"/>
    <xf numFmtId="168" fontId="6" fillId="6" borderId="0" xfId="4" applyNumberFormat="1" applyFont="1" applyFill="1"/>
    <xf numFmtId="168" fontId="0" fillId="5" borderId="0" xfId="2" applyNumberFormat="1" applyFont="1" applyFill="1"/>
    <xf numFmtId="168" fontId="6" fillId="10" borderId="0" xfId="4" applyNumberFormat="1" applyFont="1" applyFill="1"/>
    <xf numFmtId="168" fontId="0" fillId="11" borderId="0" xfId="2" applyNumberFormat="1" applyFont="1" applyFill="1"/>
    <xf numFmtId="168" fontId="6" fillId="13" borderId="0" xfId="4" applyNumberFormat="1" applyFont="1" applyFill="1"/>
    <xf numFmtId="168" fontId="0" fillId="14" borderId="0" xfId="2" applyNumberFormat="1" applyFont="1" applyFill="1"/>
    <xf numFmtId="0" fontId="0" fillId="0" borderId="0" xfId="0" pivotButton="1"/>
    <xf numFmtId="0" fontId="0" fillId="0" borderId="0" xfId="0" applyAlignment="1">
      <alignment horizontal="left"/>
    </xf>
    <xf numFmtId="3" fontId="0" fillId="0" borderId="0" xfId="0" applyNumberFormat="1"/>
    <xf numFmtId="0" fontId="12" fillId="0" borderId="0" xfId="0" applyFont="1"/>
    <xf numFmtId="168" fontId="2" fillId="13" borderId="0" xfId="4" applyNumberFormat="1" applyFont="1" applyFill="1" applyAlignment="1">
      <alignment horizontal="center"/>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168" fontId="6" fillId="8" borderId="0" xfId="4" applyNumberFormat="1" applyFont="1" applyFill="1"/>
    <xf numFmtId="168" fontId="0" fillId="7" borderId="0" xfId="2" applyNumberFormat="1" applyFont="1" applyFill="1"/>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applyFont="1" applyBorder="1" applyAlignment="1"/>
    <xf numFmtId="14" fontId="0" fillId="0" borderId="0" xfId="0" applyNumberFormat="1" applyFont="1" applyBorder="1" applyAlignment="1">
      <alignment wrapText="1"/>
    </xf>
    <xf numFmtId="165" fontId="0" fillId="0" borderId="0" xfId="0" applyNumberFormat="1"/>
    <xf numFmtId="0" fontId="6" fillId="8" borderId="0" xfId="0" applyFont="1" applyFill="1" applyBorder="1" applyAlignment="1">
      <alignment horizontal="center" vertical="center" readingOrder="1"/>
    </xf>
    <xf numFmtId="0" fontId="6" fillId="8" borderId="0" xfId="0" applyFont="1" applyFill="1" applyBorder="1" applyAlignment="1">
      <alignment horizontal="center" readingOrder="1"/>
    </xf>
    <xf numFmtId="0" fontId="6" fillId="8" borderId="0" xfId="0" applyFont="1" applyFill="1" applyBorder="1" applyAlignment="1">
      <alignment horizontal="left" readingOrder="1"/>
    </xf>
    <xf numFmtId="0" fontId="6" fillId="6" borderId="0" xfId="0" applyFont="1" applyFill="1" applyBorder="1" applyAlignment="1">
      <alignment horizontal="center" readingOrder="1"/>
    </xf>
    <xf numFmtId="0" fontId="0" fillId="0" borderId="0" xfId="0" applyAlignment="1"/>
    <xf numFmtId="44" fontId="3" fillId="5" borderId="0" xfId="2" applyNumberFormat="1" applyFont="1" applyFill="1" applyBorder="1" applyAlignment="1">
      <alignment horizontal="right" vertical="center" readingOrder="1"/>
    </xf>
    <xf numFmtId="0" fontId="6" fillId="15" borderId="0" xfId="5" applyFont="1"/>
    <xf numFmtId="14" fontId="0" fillId="0" borderId="0" xfId="0" applyNumberFormat="1"/>
    <xf numFmtId="44" fontId="0" fillId="0" borderId="0" xfId="2" applyFont="1"/>
    <xf numFmtId="44" fontId="0" fillId="0" borderId="0" xfId="0" applyNumberFormat="1"/>
    <xf numFmtId="44" fontId="0" fillId="0" borderId="2" xfId="0" applyNumberFormat="1" applyBorder="1"/>
    <xf numFmtId="0" fontId="4" fillId="0" borderId="0" xfId="0" applyFont="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0" fillId="0" borderId="3" xfId="0"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Font="1" applyAlignment="1">
      <alignment horizontal="center"/>
    </xf>
    <xf numFmtId="0" fontId="15" fillId="0" borderId="0" xfId="0" quotePrefix="1" applyFont="1"/>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applyAlignment="1"/>
    <xf numFmtId="44" fontId="4" fillId="0" borderId="0" xfId="2" applyFont="1"/>
    <xf numFmtId="9" fontId="0" fillId="0" borderId="0" xfId="7" applyFont="1"/>
    <xf numFmtId="0" fontId="0" fillId="0" borderId="4" xfId="0" applyBorder="1" applyAlignment="1">
      <alignment horizontal="center"/>
    </xf>
    <xf numFmtId="44" fontId="0" fillId="0" borderId="0" xfId="0" applyNumberFormat="1" applyFont="1" applyBorder="1"/>
    <xf numFmtId="44" fontId="12" fillId="0" borderId="0" xfId="0" applyNumberFormat="1" applyFont="1"/>
    <xf numFmtId="165" fontId="6" fillId="10" borderId="0" xfId="2" applyNumberFormat="1" applyFont="1" applyFill="1"/>
    <xf numFmtId="165" fontId="6" fillId="8" borderId="0" xfId="2" applyNumberFormat="1" applyFont="1" applyFill="1"/>
    <xf numFmtId="0" fontId="16" fillId="0" borderId="0" xfId="0" quotePrefix="1" applyFont="1" applyBorder="1" applyAlignment="1"/>
    <xf numFmtId="0" fontId="4" fillId="0" borderId="0" xfId="0" applyFont="1" applyBorder="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12" fillId="0" borderId="0" xfId="0" applyFont="1" applyBorder="1" applyAlignment="1">
      <alignment vertical="center"/>
    </xf>
    <xf numFmtId="14" fontId="0" fillId="0" borderId="0" xfId="0" applyNumberFormat="1" applyFont="1" applyBorder="1" applyAlignment="1">
      <alignment vertical="center"/>
    </xf>
    <xf numFmtId="167" fontId="0" fillId="0" borderId="0" xfId="0" applyNumberFormat="1" applyFont="1" applyBorder="1" applyAlignment="1">
      <alignment vertical="center"/>
    </xf>
    <xf numFmtId="0" fontId="6" fillId="8" borderId="0" xfId="0" applyFont="1" applyFill="1" applyBorder="1" applyAlignment="1">
      <alignment horizontal="left" vertical="center" wrapText="1" readingOrder="1"/>
    </xf>
    <xf numFmtId="0" fontId="6" fillId="13" borderId="0" xfId="0" applyFont="1" applyFill="1" applyBorder="1" applyAlignment="1">
      <alignment horizontal="center" vertical="center" wrapText="1" readingOrder="1"/>
    </xf>
    <xf numFmtId="14" fontId="6" fillId="8" borderId="0" xfId="0" applyNumberFormat="1" applyFont="1" applyFill="1" applyBorder="1" applyAlignment="1">
      <alignment horizontal="center" vertical="center" wrapText="1" readingOrder="1"/>
    </xf>
    <xf numFmtId="0" fontId="6" fillId="10" borderId="0" xfId="0" applyFont="1" applyFill="1" applyBorder="1" applyAlignment="1">
      <alignment horizontal="center" vertical="center" wrapText="1" readingOrder="1"/>
    </xf>
    <xf numFmtId="0" fontId="0" fillId="0" borderId="1" xfId="0" applyFont="1" applyBorder="1" applyAlignment="1">
      <alignment vertical="center"/>
    </xf>
    <xf numFmtId="0" fontId="4" fillId="0" borderId="1" xfId="0" applyFont="1" applyBorder="1" applyAlignment="1">
      <alignment vertical="center"/>
    </xf>
    <xf numFmtId="0" fontId="17" fillId="0" borderId="0" xfId="0" applyFont="1" applyBorder="1" applyAlignment="1"/>
    <xf numFmtId="14" fontId="17" fillId="0" borderId="0" xfId="0" applyNumberFormat="1" applyFont="1" applyBorder="1" applyAlignment="1"/>
    <xf numFmtId="0" fontId="18" fillId="0" borderId="0" xfId="0" applyFont="1" applyBorder="1" applyAlignment="1"/>
    <xf numFmtId="166" fontId="0" fillId="0" borderId="0" xfId="0" applyNumberFormat="1"/>
    <xf numFmtId="0" fontId="11" fillId="0" borderId="0" xfId="0" applyFont="1" applyBorder="1" applyAlignment="1">
      <alignment vertical="center"/>
    </xf>
    <xf numFmtId="0" fontId="0" fillId="0" borderId="0" xfId="0" applyFont="1" applyBorder="1" applyAlignment="1">
      <alignment horizontal="left" vertical="center" indent="1"/>
    </xf>
    <xf numFmtId="44" fontId="3" fillId="0" borderId="0" xfId="2" applyNumberFormat="1" applyFont="1" applyFill="1" applyBorder="1" applyAlignment="1">
      <alignment horizontal="right" vertical="center" readingOrder="1"/>
    </xf>
    <xf numFmtId="0" fontId="3" fillId="0" borderId="0" xfId="0" applyFont="1" applyBorder="1" applyAlignment="1">
      <alignment vertical="center"/>
    </xf>
    <xf numFmtId="0" fontId="3" fillId="0" borderId="7" xfId="0" applyFont="1" applyBorder="1" applyAlignment="1">
      <alignment horizontal="left" vertical="center" readingOrder="1"/>
    </xf>
    <xf numFmtId="0" fontId="3" fillId="0" borderId="7" xfId="0" applyFont="1" applyFill="1" applyBorder="1" applyAlignment="1">
      <alignment horizontal="left" vertical="center" readingOrder="1"/>
    </xf>
    <xf numFmtId="0" fontId="3" fillId="14" borderId="7" xfId="0" applyFont="1" applyFill="1" applyBorder="1" applyAlignment="1">
      <alignment horizontal="left" vertical="center" readingOrder="1"/>
    </xf>
    <xf numFmtId="165" fontId="3" fillId="21" borderId="7" xfId="2" applyNumberFormat="1" applyFont="1" applyFill="1" applyBorder="1" applyAlignment="1">
      <alignment horizontal="right" vertical="center" readingOrder="1"/>
    </xf>
    <xf numFmtId="165" fontId="3" fillId="7" borderId="7" xfId="2" applyNumberFormat="1" applyFont="1" applyFill="1" applyBorder="1" applyAlignment="1">
      <alignment horizontal="right" vertical="center" readingOrder="1"/>
    </xf>
    <xf numFmtId="165" fontId="3" fillId="20" borderId="7" xfId="2" applyNumberFormat="1" applyFont="1" applyFill="1" applyBorder="1" applyAlignment="1">
      <alignment horizontal="right" vertical="center" readingOrder="1"/>
    </xf>
    <xf numFmtId="0" fontId="3" fillId="0" borderId="7" xfId="0" applyFont="1" applyBorder="1" applyAlignment="1">
      <alignment vertical="center"/>
    </xf>
    <xf numFmtId="0" fontId="3" fillId="0" borderId="6" xfId="0" applyFont="1" applyBorder="1" applyAlignment="1">
      <alignment horizontal="left" vertical="center" readingOrder="1"/>
    </xf>
    <xf numFmtId="0" fontId="3" fillId="0" borderId="6" xfId="0" applyFont="1" applyFill="1" applyBorder="1" applyAlignment="1">
      <alignment horizontal="left" vertical="center" readingOrder="1"/>
    </xf>
    <xf numFmtId="0" fontId="3" fillId="14" borderId="6" xfId="0" applyFont="1" applyFill="1" applyBorder="1" applyAlignment="1">
      <alignment horizontal="left" vertical="center" readingOrder="1"/>
    </xf>
    <xf numFmtId="165" fontId="3" fillId="21" borderId="6" xfId="2" applyNumberFormat="1" applyFont="1" applyFill="1" applyBorder="1" applyAlignment="1">
      <alignment horizontal="right" vertical="center" readingOrder="1"/>
    </xf>
    <xf numFmtId="165" fontId="3" fillId="7" borderId="6" xfId="2" applyNumberFormat="1" applyFont="1" applyFill="1" applyBorder="1" applyAlignment="1">
      <alignment horizontal="right" vertical="center" readingOrder="1"/>
    </xf>
    <xf numFmtId="165" fontId="3" fillId="20" borderId="6" xfId="2" applyNumberFormat="1" applyFont="1" applyFill="1" applyBorder="1" applyAlignment="1">
      <alignment horizontal="right" vertical="center" readingOrder="1"/>
    </xf>
    <xf numFmtId="0" fontId="10" fillId="0" borderId="7" xfId="0" applyFont="1" applyBorder="1" applyAlignment="1">
      <alignment vertical="center"/>
    </xf>
    <xf numFmtId="0" fontId="0" fillId="14" borderId="1" xfId="0" applyFont="1" applyFill="1" applyBorder="1" applyAlignment="1">
      <alignment vertical="center"/>
    </xf>
    <xf numFmtId="165" fontId="4" fillId="21" borderId="1" xfId="2" applyNumberFormat="1" applyFont="1" applyFill="1" applyBorder="1" applyAlignment="1">
      <alignment vertical="center"/>
    </xf>
    <xf numFmtId="165" fontId="4" fillId="7" borderId="1" xfId="2" applyNumberFormat="1" applyFont="1" applyFill="1" applyBorder="1" applyAlignment="1">
      <alignment vertical="center"/>
    </xf>
    <xf numFmtId="165" fontId="8" fillId="20" borderId="1" xfId="2" applyNumberFormat="1" applyFont="1" applyFill="1" applyBorder="1" applyAlignment="1">
      <alignment horizontal="right" vertical="center" readingOrder="1"/>
    </xf>
    <xf numFmtId="0" fontId="0" fillId="0" borderId="0" xfId="0" applyFont="1" applyBorder="1" applyAlignment="1">
      <alignment horizontal="left" vertical="center"/>
    </xf>
    <xf numFmtId="165" fontId="0" fillId="11" borderId="0" xfId="2" applyNumberFormat="1" applyFont="1" applyFill="1" applyAlignment="1">
      <alignment horizontal="right"/>
    </xf>
    <xf numFmtId="0" fontId="15" fillId="0" borderId="0" xfId="0" quotePrefix="1" applyFont="1" applyAlignment="1">
      <alignment vertical="top" wrapText="1"/>
    </xf>
    <xf numFmtId="165" fontId="0" fillId="7" borderId="0" xfId="2" applyNumberFormat="1" applyFont="1" applyFill="1" applyAlignment="1">
      <alignment horizontal="right"/>
    </xf>
    <xf numFmtId="0" fontId="20" fillId="0" borderId="0" xfId="0" applyFont="1"/>
    <xf numFmtId="0" fontId="0" fillId="0" borderId="0" xfId="0" applyFill="1"/>
    <xf numFmtId="44" fontId="12" fillId="0" borderId="0" xfId="2" applyFont="1" applyFill="1"/>
    <xf numFmtId="14" fontId="0" fillId="0" borderId="0" xfId="0" applyNumberFormat="1" applyFill="1"/>
    <xf numFmtId="44" fontId="0" fillId="0" borderId="0" xfId="2" applyFont="1" applyFill="1"/>
    <xf numFmtId="44" fontId="0" fillId="0" borderId="0" xfId="0" applyNumberFormat="1" applyFill="1"/>
    <xf numFmtId="44" fontId="1" fillId="0" borderId="0" xfId="2" applyFont="1" applyFill="1"/>
  </cellXfs>
  <cellStyles count="9">
    <cellStyle name="40% - Accent3" xfId="4" builtinId="39"/>
    <cellStyle name="Accent2" xfId="5" builtinId="33"/>
    <cellStyle name="Accent5" xfId="3" builtinId="45"/>
    <cellStyle name="APPS_FormEntry_noborder" xfId="6" xr:uid="{EE5CD5B0-8E1E-4EAB-8BDD-ECDB51721DA7}"/>
    <cellStyle name="Comma" xfId="1" builtinId="3"/>
    <cellStyle name="Currency" xfId="2" builtinId="4"/>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07/relationships/slicerCache" Target="slicerCaches/slicerCache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07/relationships/slicerCache" Target="slicerCaches/slicerCach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microsoft.com/office/2007/relationships/slicerCache" Target="slicerCaches/slicerCache3.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12</xdr:col>
      <xdr:colOff>306163</xdr:colOff>
      <xdr:row>4</xdr:row>
      <xdr:rowOff>84363</xdr:rowOff>
    </xdr:from>
    <xdr:to>
      <xdr:col>14</xdr:col>
      <xdr:colOff>608227</xdr:colOff>
      <xdr:row>11</xdr:row>
      <xdr:rowOff>63964</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1469463" y="812345"/>
              <a:ext cx="1616514" cy="12464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317042</xdr:colOff>
      <xdr:row>4</xdr:row>
      <xdr:rowOff>95249</xdr:rowOff>
    </xdr:from>
    <xdr:to>
      <xdr:col>12</xdr:col>
      <xdr:colOff>47579</xdr:colOff>
      <xdr:row>29</xdr:row>
      <xdr:rowOff>104779</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8850081" y="821870"/>
              <a:ext cx="2362161" cy="452982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58509</xdr:colOff>
      <xdr:row>4</xdr:row>
      <xdr:rowOff>85725</xdr:rowOff>
    </xdr:from>
    <xdr:to>
      <xdr:col>8</xdr:col>
      <xdr:colOff>54429</xdr:colOff>
      <xdr:row>18</xdr:row>
      <xdr:rowOff>130629</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6618513" y="808264"/>
              <a:ext cx="1973037" cy="258263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14</xdr:row>
      <xdr:rowOff>103414</xdr:rowOff>
    </xdr:from>
    <xdr:to>
      <xdr:col>5</xdr:col>
      <xdr:colOff>230368</xdr:colOff>
      <xdr:row>27</xdr:row>
      <xdr:rowOff>94336</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80975" y="2999014"/>
          <a:ext cx="6288268" cy="2343597"/>
        </a:xfrm>
        <a:prstGeom prst="rect">
          <a:avLst/>
        </a:prstGeom>
        <a:ln>
          <a:solidFill>
            <a:schemeClr val="accent3"/>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16</xdr:col>
      <xdr:colOff>598125</xdr:colOff>
      <xdr:row>58</xdr:row>
      <xdr:rowOff>9112</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251733</xdr:colOff>
      <xdr:row>17</xdr:row>
      <xdr:rowOff>149678</xdr:rowOff>
    </xdr:from>
    <xdr:to>
      <xdr:col>10</xdr:col>
      <xdr:colOff>274826</xdr:colOff>
      <xdr:row>38</xdr:row>
      <xdr:rowOff>116527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251733" y="3121478"/>
          <a:ext cx="11843621" cy="3853049"/>
        </a:xfrm>
        <a:prstGeom prst="rect">
          <a:avLst/>
        </a:prstGeom>
        <a:ln>
          <a:solidFill>
            <a:schemeClr val="accent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96611</xdr:colOff>
      <xdr:row>16</xdr:row>
      <xdr:rowOff>151039</xdr:rowOff>
    </xdr:from>
    <xdr:to>
      <xdr:col>13</xdr:col>
      <xdr:colOff>133746</xdr:colOff>
      <xdr:row>24</xdr:row>
      <xdr:rowOff>160764</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96611" y="3408589"/>
          <a:ext cx="12581559" cy="1456167"/>
        </a:xfrm>
        <a:prstGeom prst="rect">
          <a:avLst/>
        </a:prstGeom>
        <a:ln w="19050">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19050</xdr:colOff>
      <xdr:row>0</xdr:row>
      <xdr:rowOff>76200</xdr:rowOff>
    </xdr:from>
    <xdr:to>
      <xdr:col>18</xdr:col>
      <xdr:colOff>2181</xdr:colOff>
      <xdr:row>9</xdr:row>
      <xdr:rowOff>133583</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1"/>
          </a:solidFill>
        </a:ln>
      </xdr:spPr>
    </xdr:pic>
    <xdr:clientData/>
  </xdr:twoCellAnchor>
  <xdr:twoCellAnchor editAs="oneCell">
    <xdr:from>
      <xdr:col>9</xdr:col>
      <xdr:colOff>12246</xdr:colOff>
      <xdr:row>10</xdr:row>
      <xdr:rowOff>63954</xdr:rowOff>
    </xdr:from>
    <xdr:to>
      <xdr:col>17</xdr:col>
      <xdr:colOff>647700</xdr:colOff>
      <xdr:row>18</xdr:row>
      <xdr:rowOff>134922</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9</xdr:col>
      <xdr:colOff>0</xdr:colOff>
      <xdr:row>19</xdr:row>
      <xdr:rowOff>63954</xdr:rowOff>
    </xdr:from>
    <xdr:to>
      <xdr:col>18</xdr:col>
      <xdr:colOff>2720</xdr:colOff>
      <xdr:row>28</xdr:row>
      <xdr:rowOff>19271</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9</xdr:col>
      <xdr:colOff>0</xdr:colOff>
      <xdr:row>28</xdr:row>
      <xdr:rowOff>129268</xdr:rowOff>
    </xdr:from>
    <xdr:to>
      <xdr:col>18</xdr:col>
      <xdr:colOff>8731</xdr:colOff>
      <xdr:row>37</xdr:row>
      <xdr:rowOff>56166</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9</xdr:col>
      <xdr:colOff>25854</xdr:colOff>
      <xdr:row>38</xdr:row>
      <xdr:rowOff>0</xdr:rowOff>
    </xdr:from>
    <xdr:to>
      <xdr:col>18</xdr:col>
      <xdr:colOff>0</xdr:colOff>
      <xdr:row>46</xdr:row>
      <xdr:rowOff>94367</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9</xdr:col>
      <xdr:colOff>28575</xdr:colOff>
      <xdr:row>47</xdr:row>
      <xdr:rowOff>38100</xdr:rowOff>
    </xdr:from>
    <xdr:to>
      <xdr:col>17</xdr:col>
      <xdr:colOff>579115</xdr:colOff>
      <xdr:row>55</xdr:row>
      <xdr:rowOff>122678</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91425" y="8543925"/>
          <a:ext cx="5808340" cy="1532378"/>
        </a:xfrm>
        <a:prstGeom prst="rect">
          <a:avLst/>
        </a:prstGeom>
        <a:ln>
          <a:solidFill>
            <a:schemeClr val="accent1"/>
          </a:solid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4902.389116319442" createdVersion="8" refreshedVersion="8" minRefreshableVersion="3" recordCount="23" xr:uid="{FB390586-EB9F-435B-BC14-10BB99093DFC}">
  <cacheSource type="worksheet">
    <worksheetSource ref="B3:R26" sheet="Project Status"/>
  </cacheSource>
  <cacheFields count="17">
    <cacheField name="Capex / opex" numFmtId="0">
      <sharedItems count="3">
        <s v="Operating"/>
        <s v="Capital"/>
        <s v="TBD"/>
      </sharedItems>
    </cacheField>
    <cacheField name="eBuilder" numFmtId="0">
      <sharedItems containsSemiMixedTypes="0" containsString="0" containsNumber="1" containsInteger="1" minValue="10085" maxValue="20702"/>
    </cacheField>
    <cacheField name="AiM" numFmtId="0">
      <sharedItems containsSemiMixedTypes="0" containsString="0" containsNumber="1" containsInteger="1" minValue="529" maxValue="36015"/>
    </cacheField>
    <cacheField name="Oracle" numFmtId="0">
      <sharedItems containsBlank="1"/>
    </cacheField>
    <cacheField name="School" numFmtId="0">
      <sharedItems count="8">
        <s v="21000 - Peabody College: Office of the Dean"/>
        <s v="13000 - Blair: Office of the Dean"/>
        <s v="18200 - Basic Sciences: Office of the Dean"/>
        <s v="19100 - Nursing: Business Affairs"/>
        <s v="17100 - Law: Business Affairs"/>
        <s v="14000 - Divinity: Office of the Dean"/>
        <s v="12000 - Arts and Science: Office of the Dean"/>
        <s v="15000 - Engineering: Office of the Dean"/>
      </sharedItems>
    </cacheField>
    <cacheField name="Lookup" numFmtId="0">
      <sharedItems count="10">
        <s v="Peabody"/>
        <s v="Blair"/>
        <s v="SOM Basic Sciences"/>
        <s v="Nursing"/>
        <s v="Law"/>
        <s v="Divinity"/>
        <s v="Arts &amp; Science"/>
        <s v="Engineering"/>
        <s v="School of Nursing" u="1"/>
        <s v="School of Medicine" u="1"/>
      </sharedItems>
    </cacheField>
    <cacheField name="Building" numFmtId="0">
      <sharedItems count="15">
        <s v="One Magnolia Circle"/>
        <s v="BLAIR SCHOOL OF MUSIC"/>
        <s v="MRB III BIO/SCI"/>
        <s v="Godchaux Hall"/>
        <s v="Law School"/>
        <s v="DIVINITY"/>
        <s v="JESUP PSYCHOLOGY"/>
        <s v="WYATT CENTER"/>
        <s v="SC CHEMISTRY"/>
        <s v="PEABODY ADMINISTRATION"/>
        <s v="BENSON OLD CENTRAL"/>
        <s v="1025 16TH AVE S"/>
        <s v="KECK FREE ELECTRON LASER CTR"/>
        <s v="WILSON HALL"/>
        <s v="SC SCIENCE &amp; ENGINEERING"/>
      </sharedItems>
    </cacheField>
    <cacheField name="Project" numFmtId="0">
      <sharedItems/>
    </cacheField>
    <cacheField name="Phase" numFmtId="0">
      <sharedItems/>
    </cacheField>
    <cacheField name="Manager" numFmtId="0">
      <sharedItems/>
    </cacheField>
    <cacheField name="Estimated total budget" numFmtId="165">
      <sharedItems containsMixedTypes="1" containsNumber="1" minValue="145000" maxValue="4500000"/>
    </cacheField>
    <cacheField name="Approved budget" numFmtId="165">
      <sharedItems containsSemiMixedTypes="0" containsString="0" containsNumber="1" minValue="0" maxValue="1445389"/>
    </cacheField>
    <cacheField name="Approved commitments" numFmtId="165">
      <sharedItems containsSemiMixedTypes="0" containsString="0" containsNumber="1" containsInteger="1" minValue="0" maxValue="1348533"/>
    </cacheField>
    <cacheField name="Projected commitments" numFmtId="165">
      <sharedItems containsSemiMixedTypes="0" containsString="0" containsNumber="1" containsInteger="1" minValue="0" maxValue="1348533"/>
    </cacheField>
    <cacheField name="Invoices Approved" numFmtId="165">
      <sharedItems containsSemiMixedTypes="0" containsString="0" containsNumber="1" minValue="0" maxValue="1198950"/>
    </cacheField>
    <cacheField name="Anticipated FRP funding" numFmtId="165">
      <sharedItems containsMixedTypes="1" containsNumber="1" minValue="2500" maxValue="1216485.5"/>
    </cacheField>
    <cacheField name="Project status update" numFmtId="0">
      <sharedItems longText="1"/>
    </cacheField>
  </cacheFields>
  <extLst>
    <ext xmlns:x14="http://schemas.microsoft.com/office/spreadsheetml/2009/9/main" uri="{725AE2AE-9491-48be-B2B4-4EB974FC3084}">
      <x14:pivotCacheDefinition pivotCacheId="174482035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x v="0"/>
    <n v="10085"/>
    <n v="4591"/>
    <s v="N/A"/>
    <x v="0"/>
    <x v="0"/>
    <x v="0"/>
    <s v="One Magnolia Circle - Modify/Upgrade Electrical and Grounding"/>
    <s v="Design"/>
    <s v="Sean Rewers"/>
    <n v="145000"/>
    <n v="22000"/>
    <n v="17500"/>
    <n v="17500"/>
    <n v="0"/>
    <n v="145000"/>
    <s v="11/22/2022 Walkthrough with ICT has been completed, feasibility study should come back in early December."/>
  </r>
  <r>
    <x v="1"/>
    <n v="10086"/>
    <n v="8557"/>
    <s v="CP_400007"/>
    <x v="1"/>
    <x v="1"/>
    <x v="1"/>
    <s v="Blair School of Music - Replace Boiler"/>
    <s v="Programming / Planning"/>
    <s v="Hans Mooy"/>
    <n v="550000"/>
    <n v="18700"/>
    <n v="17000"/>
    <n v="17000"/>
    <n v="3400"/>
    <n v="17000"/>
    <s v="11/30/2022 Project activated. AEI and Envision reviewing drawings for steam connection and HW/CW as alternate cost."/>
  </r>
  <r>
    <x v="1"/>
    <n v="10098"/>
    <n v="1627"/>
    <s v="CP_400023"/>
    <x v="2"/>
    <x v="2"/>
    <x v="2"/>
    <s v="MRB III 4th Floor - Replace Controls (Phase 2 of 5)"/>
    <s v="Construction"/>
    <s v="Hans Mooy"/>
    <n v="1216485.5"/>
    <n v="1216485.5"/>
    <n v="1172951"/>
    <n v="1172951"/>
    <n v="257845"/>
    <n v="1216485.5"/>
    <s v="11/22/2022 Construction continues. Project should be complete mid-February 2023."/>
  </r>
  <r>
    <x v="1"/>
    <n v="10146"/>
    <n v="4418"/>
    <s v="CP_400025"/>
    <x v="3"/>
    <x v="3"/>
    <x v="3"/>
    <s v="Godchaux Hall - HVAC Engineering"/>
    <s v="Construction"/>
    <s v="Sean Rewers"/>
    <s v="TBD"/>
    <n v="62100"/>
    <n v="52900"/>
    <n v="62100"/>
    <n v="39675"/>
    <n v="62100"/>
    <s v="11/22/2022 Added scope for design/engineering of HHW for Godchaux/Frist approved. Design/engineering underway with completion of CDs scheduled for 12/15/22."/>
  </r>
  <r>
    <x v="1"/>
    <n v="20179"/>
    <n v="36015"/>
    <s v="CP_400024"/>
    <x v="4"/>
    <x v="4"/>
    <x v="4"/>
    <s v="Law School - Fire Alarm System Replacement"/>
    <s v="Construction"/>
    <s v="Bob Grummon"/>
    <n v="1445389"/>
    <n v="1445389"/>
    <n v="1348533"/>
    <n v="1348533"/>
    <n v="1198950"/>
    <n v="722694.5"/>
    <s v="11/28/2022 Work is completed awaiting fire marshal sign off after exams are completed."/>
  </r>
  <r>
    <x v="1"/>
    <n v="20336"/>
    <n v="20075"/>
    <s v="CP_400056"/>
    <x v="1"/>
    <x v="1"/>
    <x v="1"/>
    <s v="Blair School of Music - Elevator #3 Modernization"/>
    <s v="Construction"/>
    <s v="Ben Bedock"/>
    <n v="327890"/>
    <n v="327890"/>
    <n v="280600"/>
    <n v="280600"/>
    <n v="8725"/>
    <n v="245917.5"/>
    <s v="11/22/2022 PO has been issued. Preliminary design drawings have been submitted for the elevator. Alternates have been approved. Elevator mechanical room to be relocated out to the upper patio. Construction to start summer of 2023."/>
  </r>
  <r>
    <x v="1"/>
    <n v="20431"/>
    <n v="8084"/>
    <s v="CP_400108"/>
    <x v="5"/>
    <x v="5"/>
    <x v="5"/>
    <s v="Divinity - AHU 5N (5 &amp; 6) Replacement with Benton"/>
    <s v="Design"/>
    <s v="Hans Mooy"/>
    <n v="4375000"/>
    <n v="139640"/>
    <n v="112475"/>
    <n v="122975"/>
    <n v="30138.6"/>
    <n v="1093750"/>
    <s v="11/28/2022 Design meetings continue"/>
  </r>
  <r>
    <x v="1"/>
    <n v="20489"/>
    <n v="8051"/>
    <m/>
    <x v="5"/>
    <x v="5"/>
    <x v="5"/>
    <s v="Divinity - AHU 1N (1 &amp; 3) Replacement "/>
    <s v="Design"/>
    <s v="Hans Mooy"/>
    <n v="3726000"/>
    <n v="0"/>
    <n v="0"/>
    <n v="0"/>
    <n v="0"/>
    <n v="372600"/>
    <s v="11/28/2022 Design to continue after 5N goes to bid."/>
  </r>
  <r>
    <x v="1"/>
    <n v="20497"/>
    <n v="529"/>
    <s v="CP_400127"/>
    <x v="0"/>
    <x v="0"/>
    <x v="6"/>
    <s v="Jesup - Roof Replacement"/>
    <s v="Construction"/>
    <s v="Ben Bedock"/>
    <n v="456850"/>
    <n v="456850"/>
    <n v="412000"/>
    <n v="412000"/>
    <n v="407000"/>
    <n v="79415.5"/>
    <s v="11/22/2022 Final construction to be completed over winter break. Hatch installation, window replacement, and final metal work to be completed."/>
  </r>
  <r>
    <x v="1"/>
    <n v="20506"/>
    <n v="1170"/>
    <m/>
    <x v="0"/>
    <x v="0"/>
    <x v="7"/>
    <s v="Wyatt Center - Window Replacement (4th Floor)"/>
    <s v="Programming / Planning"/>
    <s v="Ben Bedock"/>
    <n v="1100000"/>
    <n v="0"/>
    <n v="0"/>
    <n v="0"/>
    <n v="0"/>
    <n v="1100000"/>
    <s v="11/22/2022 Working with appropriate parties to determine scope of work. Summer 2023 construction"/>
  </r>
  <r>
    <x v="1"/>
    <n v="20562"/>
    <n v="4564"/>
    <m/>
    <x v="0"/>
    <x v="0"/>
    <x v="7"/>
    <s v="Wyatt Center - VAV Replacement"/>
    <s v="Bidding"/>
    <s v="Sean Rewers"/>
    <n v="285480"/>
    <n v="0"/>
    <n v="0"/>
    <n v="0"/>
    <n v="0"/>
    <n v="214110"/>
    <s v="11/28/2022 Project walkthrough was completed and bids should be received by the end of the month. Working with JCI for updated controls pricing. Construction still planned for summer 2023."/>
  </r>
  <r>
    <x v="1"/>
    <n v="20566"/>
    <n v="20054"/>
    <s v="CP_400151"/>
    <x v="6"/>
    <x v="6"/>
    <x v="8"/>
    <s v="SC Chemistry (SC7) - Elevator 1 &amp; 2 Modernization"/>
    <s v="Award"/>
    <s v="Ben Bedock"/>
    <n v="781870"/>
    <n v="781870"/>
    <n v="17050"/>
    <n v="709050"/>
    <n v="8700"/>
    <n v="781870"/>
    <s v="11/22/2022 Project has been awarded to Oracle/Premier elevator. PO process is currently underway. Just received Provost approval so PO can move forward. Construction to be completed over summer."/>
  </r>
  <r>
    <x v="1"/>
    <n v="20573"/>
    <n v="8047"/>
    <m/>
    <x v="0"/>
    <x v="0"/>
    <x v="7"/>
    <s v="Wyatt Center - Roof Replacement"/>
    <s v="Bidding"/>
    <s v="Ben Bedock"/>
    <n v="750000"/>
    <n v="0"/>
    <n v="0"/>
    <n v="0"/>
    <n v="0"/>
    <n v="750000"/>
    <s v="11/22/2022 Addendum to scope is currently being developed. Project is currently out to bid."/>
  </r>
  <r>
    <x v="1"/>
    <n v="20574"/>
    <n v="8145"/>
    <s v="CP_400164"/>
    <x v="2"/>
    <x v="2"/>
    <x v="2"/>
    <s v="MRB III - Steam Coil Replacement"/>
    <s v="Award"/>
    <s v="Sean Rewers"/>
    <n v="218202"/>
    <n v="218202"/>
    <n v="195665"/>
    <n v="195665"/>
    <n v="0"/>
    <n v="218202"/>
    <s v="11/28/2022 Coils are being ordered and require about 6 weeks lead time. Construction should be starting in the first of the year 2023."/>
  </r>
  <r>
    <x v="1"/>
    <n v="20577"/>
    <n v="8146"/>
    <s v="CP_400154"/>
    <x v="1"/>
    <x v="1"/>
    <x v="1"/>
    <s v="Blair School of Music - Air Handling Unit Replacement"/>
    <s v="Design"/>
    <s v="Hans Mooy"/>
    <n v="4500000"/>
    <n v="53750"/>
    <n v="50283"/>
    <n v="50283"/>
    <n v="11700"/>
    <n v="1125000"/>
    <s v="11/22/2022 Approval to continue design...meetings continue."/>
  </r>
  <r>
    <x v="1"/>
    <n v="20644"/>
    <n v="8241"/>
    <s v="CP_400171"/>
    <x v="0"/>
    <x v="0"/>
    <x v="9"/>
    <s v="Peabody Administration - Envelope Repairs"/>
    <s v="Design"/>
    <s v="Ben Bedock"/>
    <n v="560000"/>
    <n v="2050"/>
    <n v="0"/>
    <n v="2050"/>
    <n v="0"/>
    <n v="560000"/>
    <s v="11/22/2022 PO is currently underway for testing of the windows for hazardous materials. Once results have been submitted, scope can be developed for the windows followed by the bidding process."/>
  </r>
  <r>
    <x v="1"/>
    <n v="20645"/>
    <n v="8239"/>
    <m/>
    <x v="6"/>
    <x v="6"/>
    <x v="10"/>
    <s v="Benson Old Central - Replace Soffit and Doors"/>
    <s v="Design"/>
    <s v="Ben Bedock"/>
    <s v="TBD"/>
    <n v="0"/>
    <n v="0"/>
    <n v="0"/>
    <n v="0"/>
    <s v="TBD"/>
    <s v="11/22/2022 Met with appropriate parties to determine scope of work. Scope to be written and project to go out to bid. Work to be completed summer 2023."/>
  </r>
  <r>
    <x v="1"/>
    <n v="20667"/>
    <n v="8168"/>
    <s v="CP_400160"/>
    <x v="7"/>
    <x v="7"/>
    <x v="11"/>
    <s v="1025 16th Avenue - Mechanical and Electrical Upgrades"/>
    <s v="Design"/>
    <s v="Sean Rewers"/>
    <s v="TBD"/>
    <n v="135000"/>
    <n v="135000"/>
    <n v="135000"/>
    <n v="0"/>
    <n v="135000"/>
    <s v="11/28/2022 Design PO is through and user meetings are being set up with the occupants. After these meetings well have a better idea where the project is heading and will begin the design."/>
  </r>
  <r>
    <x v="1"/>
    <n v="20668"/>
    <n v="8151"/>
    <s v="CP_400163"/>
    <x v="7"/>
    <x v="7"/>
    <x v="12"/>
    <s v="Keck FEL - Mechanical Upgrades"/>
    <s v="Design"/>
    <s v="Sean Rewers"/>
    <s v="TBD"/>
    <n v="195000"/>
    <n v="0"/>
    <n v="195000"/>
    <n v="0"/>
    <n v="195000"/>
    <s v="11/28/2022 Design PO has been issued and user meetings are being set-up now. After these user meetings we will have a better idea on the direction we are taking the project."/>
  </r>
  <r>
    <x v="1"/>
    <n v="20698"/>
    <n v="1138"/>
    <s v="CP_400168"/>
    <x v="6"/>
    <x v="6"/>
    <x v="13"/>
    <s v="Wilson Hall - Fire Alarm Replacement"/>
    <s v="Design"/>
    <s v="Sean Rewers"/>
    <s v="TBD"/>
    <n v="24950"/>
    <n v="24950"/>
    <n v="24950"/>
    <n v="0"/>
    <n v="24950"/>
    <s v="11/28/2022 Design walkthrough has been completed, Awaiting drawings from Enfinity Engineering, which should be completed in early December."/>
  </r>
  <r>
    <x v="1"/>
    <n v="20700"/>
    <n v="851"/>
    <s v="CP_400170"/>
    <x v="6"/>
    <x v="6"/>
    <x v="8"/>
    <s v="SC Chemistry (SC7) - Steam Generator 1 Removal and Connection to Central Plant Steam"/>
    <s v="Design"/>
    <s v="Sean Rewers"/>
    <s v="TBD"/>
    <n v="2500"/>
    <n v="2500"/>
    <n v="2500"/>
    <n v="0"/>
    <n v="2500"/>
    <s v="11/22/2022 Awaiting a contact for the existing system. During our walkthrough we noticed some damage to the existing system that was not covered in the current design. A new design may need to be done to completely remove existing and install a small, less intricate system."/>
  </r>
  <r>
    <x v="2"/>
    <n v="20701"/>
    <n v="4399"/>
    <m/>
    <x v="6"/>
    <x v="6"/>
    <x v="14"/>
    <s v="SC Science &amp; Engineering (SC5) - Chemical Discharge Replacement"/>
    <s v="Programming / Planning"/>
    <s v="Sean Rewers"/>
    <s v="TBD"/>
    <n v="0"/>
    <n v="0"/>
    <n v="0"/>
    <n v="0"/>
    <s v="TBD"/>
    <s v="11/28/2022 Awaiting a contact for the original chemical discharge system. There was some damage noted to the existing tanks which may mean we have to redesign the entire system."/>
  </r>
  <r>
    <x v="1"/>
    <n v="20702"/>
    <n v="8432"/>
    <s v="CP_400165"/>
    <x v="0"/>
    <x v="0"/>
    <x v="7"/>
    <s v="Wyatt Center - Elevator #2 Modernization"/>
    <s v="Bidding"/>
    <s v="Ben Bedock"/>
    <n v="175000"/>
    <n v="13550"/>
    <n v="13550"/>
    <n v="13550"/>
    <n v="0"/>
    <n v="175000"/>
    <s v="11/22/2022 Project currently out to bi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7CF1AD5-AD5F-44A9-87E8-14A9A0770E72}" name="PivotTable1" cacheId="6"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4:D28" firstHeaderRow="0" firstDataRow="1" firstDataCol="1"/>
  <pivotFields count="17">
    <pivotField showAll="0">
      <items count="4">
        <item x="1"/>
        <item x="0"/>
        <item x="2"/>
        <item t="default"/>
      </items>
    </pivotField>
    <pivotField showAll="0"/>
    <pivotField showAll="0"/>
    <pivotField showAll="0"/>
    <pivotField axis="axisRow" showAll="0">
      <items count="9">
        <item x="6"/>
        <item x="1"/>
        <item x="5"/>
        <item x="7"/>
        <item x="4"/>
        <item x="2"/>
        <item x="0"/>
        <item x="3"/>
        <item t="default"/>
      </items>
    </pivotField>
    <pivotField showAll="0">
      <items count="11">
        <item x="6"/>
        <item x="1"/>
        <item x="5"/>
        <item x="7"/>
        <item x="4"/>
        <item x="3"/>
        <item x="0"/>
        <item m="1" x="9"/>
        <item m="1" x="8"/>
        <item x="2"/>
        <item t="default"/>
      </items>
    </pivotField>
    <pivotField axis="axisRow" showAll="0">
      <items count="16">
        <item x="11"/>
        <item x="10"/>
        <item x="1"/>
        <item x="5"/>
        <item x="3"/>
        <item x="6"/>
        <item x="12"/>
        <item x="4"/>
        <item x="2"/>
        <item x="0"/>
        <item x="9"/>
        <item x="8"/>
        <item x="7"/>
        <item x="13"/>
        <item x="14"/>
        <item t="default"/>
      </items>
    </pivotField>
    <pivotField showAll="0"/>
    <pivotField showAll="0"/>
    <pivotField showAll="0"/>
    <pivotField dataField="1" numFmtId="165" showAll="0"/>
    <pivotField dataField="1" numFmtId="165" showAll="0"/>
    <pivotField numFmtId="165" showAll="0"/>
    <pivotField numFmtId="165" showAll="0"/>
    <pivotField numFmtId="165" showAll="0"/>
    <pivotField dataField="1" showAll="0"/>
    <pivotField showAll="0"/>
  </pivotFields>
  <rowFields count="2">
    <field x="4"/>
    <field x="6"/>
  </rowFields>
  <rowItems count="24">
    <i>
      <x/>
    </i>
    <i r="1">
      <x v="1"/>
    </i>
    <i r="1">
      <x v="11"/>
    </i>
    <i r="1">
      <x v="13"/>
    </i>
    <i r="1">
      <x v="14"/>
    </i>
    <i>
      <x v="1"/>
    </i>
    <i r="1">
      <x v="2"/>
    </i>
    <i>
      <x v="2"/>
    </i>
    <i r="1">
      <x v="3"/>
    </i>
    <i>
      <x v="3"/>
    </i>
    <i r="1">
      <x/>
    </i>
    <i r="1">
      <x v="6"/>
    </i>
    <i>
      <x v="4"/>
    </i>
    <i r="1">
      <x v="7"/>
    </i>
    <i>
      <x v="5"/>
    </i>
    <i r="1">
      <x v="8"/>
    </i>
    <i>
      <x v="6"/>
    </i>
    <i r="1">
      <x v="5"/>
    </i>
    <i r="1">
      <x v="9"/>
    </i>
    <i r="1">
      <x v="10"/>
    </i>
    <i r="1">
      <x v="12"/>
    </i>
    <i>
      <x v="7"/>
    </i>
    <i r="1">
      <x v="4"/>
    </i>
    <i t="grand">
      <x/>
    </i>
  </rowItems>
  <colFields count="1">
    <field x="-2"/>
  </colFields>
  <colItems count="3">
    <i>
      <x/>
    </i>
    <i i="1">
      <x v="1"/>
    </i>
    <i i="2">
      <x v="2"/>
    </i>
  </colItems>
  <dataFields count="3">
    <dataField name="Estimated Budget" fld="10" baseField="5" baseItem="1" numFmtId="3"/>
    <dataField name="Approved_Budget" fld="11" baseField="5" baseItem="1" numFmtId="3"/>
    <dataField name="FRP_Funding" fld="15" baseField="6"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744820357">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744820357">
      <items count="15">
        <i x="11" s="1"/>
        <i x="10" s="1"/>
        <i x="1" s="1"/>
        <i x="5" s="1"/>
        <i x="3" s="1"/>
        <i x="6" s="1"/>
        <i x="12" s="1"/>
        <i x="4" s="1"/>
        <i x="2" s="1"/>
        <i x="0" s="1"/>
        <i x="9" s="1"/>
        <i x="8" s="1"/>
        <i x="14" s="1"/>
        <i x="13" s="1"/>
        <i x="7"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744820357">
      <items count="10">
        <i x="6" s="1"/>
        <i x="1" s="1"/>
        <i x="5" s="1"/>
        <i x="7" s="1"/>
        <i x="4" s="1"/>
        <i x="3" s="1"/>
        <i x="0" s="1"/>
        <i x="2" s="1"/>
        <i x="9"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H24"/>
  <sheetViews>
    <sheetView zoomScaleNormal="100" workbookViewId="0">
      <selection activeCell="B2" sqref="B2"/>
    </sheetView>
  </sheetViews>
  <sheetFormatPr defaultRowHeight="14.6" x14ac:dyDescent="0.4"/>
  <cols>
    <col min="1" max="1" width="19.84375" customWidth="1"/>
    <col min="2" max="5" width="12.53515625" customWidth="1"/>
  </cols>
  <sheetData>
    <row r="1" spans="1:8" s="8" customFormat="1" x14ac:dyDescent="0.4">
      <c r="A1" s="11" t="s">
        <v>201</v>
      </c>
      <c r="B1" s="9"/>
      <c r="C1" s="9"/>
      <c r="D1" s="9"/>
      <c r="E1" s="9"/>
    </row>
    <row r="2" spans="1:8" s="8" customFormat="1" x14ac:dyDescent="0.4">
      <c r="A2" s="117" t="s">
        <v>112</v>
      </c>
      <c r="B2" s="116">
        <v>44902</v>
      </c>
      <c r="C2" s="9"/>
      <c r="D2" s="9"/>
      <c r="E2" s="9"/>
    </row>
    <row r="4" spans="1:8" x14ac:dyDescent="0.4">
      <c r="A4" s="61" t="s">
        <v>174</v>
      </c>
      <c r="D4" s="86" t="s">
        <v>178</v>
      </c>
    </row>
    <row r="5" spans="1:8" s="24" customFormat="1" ht="29.15" x14ac:dyDescent="0.4">
      <c r="A5" s="25" t="s">
        <v>86</v>
      </c>
      <c r="B5" s="82" t="s">
        <v>99</v>
      </c>
      <c r="C5" s="26" t="s">
        <v>88</v>
      </c>
      <c r="D5" s="39" t="s">
        <v>180</v>
      </c>
      <c r="E5" s="40" t="s">
        <v>126</v>
      </c>
    </row>
    <row r="6" spans="1:8" x14ac:dyDescent="0.4">
      <c r="A6" s="9" t="s">
        <v>208</v>
      </c>
      <c r="B6" s="22">
        <f>Contributions!B5</f>
        <v>1075461.7320675128</v>
      </c>
      <c r="C6" s="74">
        <f>'Shared Building Allocation'!C5*1000000</f>
        <v>3663826</v>
      </c>
      <c r="D6" s="75">
        <f>'Shared Building Allocation'!F5*1000000</f>
        <v>1311460.625</v>
      </c>
      <c r="E6" s="76">
        <f>C6-D6</f>
        <v>2352365.375</v>
      </c>
      <c r="H6" s="35"/>
    </row>
    <row r="7" spans="1:8" x14ac:dyDescent="0.4">
      <c r="A7" s="9" t="s">
        <v>211</v>
      </c>
      <c r="B7" s="22">
        <f>Contributions!B6</f>
        <v>121421.42689276834</v>
      </c>
      <c r="C7" s="83">
        <f>'Shared Building Allocation'!C6*1000000</f>
        <v>413652</v>
      </c>
      <c r="D7" s="84">
        <f>'Shared Building Allocation'!F6*1000000</f>
        <v>1387917.5</v>
      </c>
      <c r="E7" s="85">
        <f t="shared" ref="E7:E14" si="0">C7-D7</f>
        <v>-974265.5</v>
      </c>
      <c r="H7" s="35"/>
    </row>
    <row r="8" spans="1:8" x14ac:dyDescent="0.4">
      <c r="A8" s="9" t="s">
        <v>212</v>
      </c>
      <c r="B8" s="22">
        <f>Contributions!B7</f>
        <v>57814.730923479161</v>
      </c>
      <c r="C8" s="83">
        <f>'Shared Building Allocation'!C7*1000000</f>
        <v>196960</v>
      </c>
      <c r="D8" s="84">
        <f>'Shared Building Allocation'!F7*1000000</f>
        <v>1466350</v>
      </c>
      <c r="E8" s="85">
        <f t="shared" si="0"/>
        <v>-1269390</v>
      </c>
      <c r="H8" s="35"/>
    </row>
    <row r="9" spans="1:8" x14ac:dyDescent="0.4">
      <c r="A9" s="9" t="s">
        <v>213</v>
      </c>
      <c r="B9" s="22">
        <f>Contributions!B8</f>
        <v>537962.332719445</v>
      </c>
      <c r="C9" s="83">
        <f>'Shared Building Allocation'!C8*1000000</f>
        <v>1832701</v>
      </c>
      <c r="D9" s="84">
        <f>'Shared Building Allocation'!F8*1000000</f>
        <v>330000</v>
      </c>
      <c r="E9" s="85">
        <f t="shared" si="0"/>
        <v>1502701</v>
      </c>
      <c r="H9" s="35"/>
    </row>
    <row r="10" spans="1:8" x14ac:dyDescent="0.4">
      <c r="A10" s="9" t="s">
        <v>214</v>
      </c>
      <c r="B10" s="22">
        <f>Contributions!B9</f>
        <v>120155.48460329951</v>
      </c>
      <c r="C10" s="83">
        <f>'Shared Building Allocation'!C9*1000000</f>
        <v>409339</v>
      </c>
      <c r="D10" s="84">
        <f>'Shared Building Allocation'!F9*1000000</f>
        <v>722694.5</v>
      </c>
      <c r="E10" s="85">
        <f t="shared" si="0"/>
        <v>-313355.5</v>
      </c>
      <c r="H10" s="35"/>
    </row>
    <row r="11" spans="1:8" x14ac:dyDescent="0.4">
      <c r="A11" s="9" t="s">
        <v>216</v>
      </c>
      <c r="B11" s="22">
        <f>Contributions!B10</f>
        <v>280022.39987629937</v>
      </c>
      <c r="C11" s="83">
        <f>'Shared Building Allocation'!C10*1000000</f>
        <v>953965</v>
      </c>
      <c r="D11" s="84">
        <f>'Shared Building Allocation'!F10*1000000</f>
        <v>932546.875</v>
      </c>
      <c r="E11" s="85">
        <f t="shared" si="0"/>
        <v>21418.125</v>
      </c>
      <c r="H11" s="35"/>
    </row>
    <row r="12" spans="1:8" x14ac:dyDescent="0.4">
      <c r="A12" s="9" t="s">
        <v>215</v>
      </c>
      <c r="B12" s="22">
        <f>Contributions!B11</f>
        <v>106166.70000000001</v>
      </c>
      <c r="C12" s="83">
        <f>'Shared Building Allocation'!C11*1000000</f>
        <v>361683</v>
      </c>
      <c r="D12" s="84">
        <f>'Shared Building Allocation'!F11*1000000</f>
        <v>62100</v>
      </c>
      <c r="E12" s="85">
        <f t="shared" si="0"/>
        <v>299583</v>
      </c>
      <c r="H12" s="35"/>
    </row>
    <row r="13" spans="1:8" x14ac:dyDescent="0.4">
      <c r="A13" s="9" t="s">
        <v>210</v>
      </c>
      <c r="B13" s="22">
        <f>Contributions!B12</f>
        <v>59008.361666666671</v>
      </c>
      <c r="C13" s="83">
        <f>'Shared Building Allocation'!C12*1000000</f>
        <v>201027</v>
      </c>
      <c r="D13" s="84">
        <f>'Shared Building Allocation'!F12*1000000</f>
        <v>0</v>
      </c>
      <c r="E13" s="85">
        <f t="shared" si="0"/>
        <v>201027</v>
      </c>
      <c r="H13" s="35"/>
    </row>
    <row r="14" spans="1:8" x14ac:dyDescent="0.4">
      <c r="A14" s="9" t="s">
        <v>217</v>
      </c>
      <c r="B14" s="22">
        <f>Contributions!B13</f>
        <v>390796.88477064227</v>
      </c>
      <c r="C14" s="83">
        <f>'Shared Building Allocation'!C13*1000000</f>
        <v>1331346</v>
      </c>
      <c r="D14" s="84">
        <f>'Shared Building Allocation'!F13*1000000</f>
        <v>3023525.5</v>
      </c>
      <c r="E14" s="85">
        <f t="shared" si="0"/>
        <v>-1692179.5</v>
      </c>
      <c r="H14" s="35"/>
    </row>
    <row r="15" spans="1:8" x14ac:dyDescent="0.4">
      <c r="A15" s="27"/>
      <c r="B15" s="27">
        <v>2748810.0535201132</v>
      </c>
      <c r="C15" s="80">
        <f>SUM(C6:C14)</f>
        <v>9364499</v>
      </c>
      <c r="D15" s="79">
        <f>SUM(D6:D14)</f>
        <v>9236595</v>
      </c>
      <c r="E15" s="78">
        <f>SUM(E6:E14)</f>
        <v>127904</v>
      </c>
      <c r="H15" s="35"/>
    </row>
    <row r="16" spans="1:8" x14ac:dyDescent="0.4">
      <c r="A16" s="35"/>
      <c r="H16" s="35"/>
    </row>
    <row r="17" spans="1:8" x14ac:dyDescent="0.4">
      <c r="A17" s="35"/>
      <c r="H17" s="35"/>
    </row>
    <row r="18" spans="1:8" x14ac:dyDescent="0.4">
      <c r="A18" s="35"/>
      <c r="H18" s="35"/>
    </row>
    <row r="19" spans="1:8" s="37" customFormat="1" ht="14.7" customHeight="1" x14ac:dyDescent="0.4">
      <c r="B19" s="143"/>
      <c r="C19" s="143"/>
      <c r="D19" s="143"/>
      <c r="E19" s="143"/>
    </row>
    <row r="20" spans="1:8" s="37" customFormat="1" x14ac:dyDescent="0.4">
      <c r="A20" s="143"/>
      <c r="B20" s="143"/>
      <c r="C20" s="143"/>
      <c r="D20" s="143"/>
      <c r="E20" s="143"/>
    </row>
    <row r="21" spans="1:8" s="37" customFormat="1" x14ac:dyDescent="0.4">
      <c r="A21" s="143"/>
      <c r="B21" s="143"/>
      <c r="C21" s="143"/>
      <c r="D21" s="143"/>
      <c r="E21" s="143"/>
    </row>
    <row r="22" spans="1:8" s="37" customFormat="1" x14ac:dyDescent="0.4">
      <c r="A22" s="143"/>
      <c r="B22" s="143"/>
      <c r="C22" s="143"/>
      <c r="D22" s="143"/>
      <c r="E22" s="143"/>
    </row>
    <row r="23" spans="1:8" s="37" customFormat="1" x14ac:dyDescent="0.4">
      <c r="A23" s="143"/>
      <c r="B23" s="143"/>
      <c r="C23" s="143"/>
      <c r="D23" s="143"/>
      <c r="E23" s="143"/>
    </row>
    <row r="24" spans="1:8" s="37" customFormat="1" x14ac:dyDescent="0.4"/>
  </sheetData>
  <sortState xmlns:xlrd2="http://schemas.microsoft.com/office/spreadsheetml/2017/richdata2" ref="H6:H18">
    <sortCondition ref="H6:H18"/>
  </sortState>
  <pageMargins left="0.7" right="0.7" top="0.75" bottom="0.75" header="0.3" footer="0.3"/>
  <pageSetup orientation="portrait" horizontalDpi="4294967295" verticalDpi="4294967295" r:id="rId1"/>
  <headerFooter>
    <oddFooter>&amp;L(1) - project spend indicates expected funding to be transferred back to the school from FRP program funds. Please note, facility renewal projects typically span multiple fiscal years, as such projects may receive funding from multiple fiscal years.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4"/>
    <pageSetUpPr fitToPage="1"/>
  </sheetPr>
  <dimension ref="A3:H13"/>
  <sheetViews>
    <sheetView zoomScaleNormal="100" workbookViewId="0">
      <selection activeCell="H13" sqref="H13"/>
    </sheetView>
  </sheetViews>
  <sheetFormatPr defaultRowHeight="14.6" x14ac:dyDescent="0.4"/>
  <cols>
    <col min="1" max="1" width="8" bestFit="1" customWidth="1"/>
    <col min="2" max="2" width="5.84375" bestFit="1" customWidth="1"/>
    <col min="3" max="3" width="9.84375" bestFit="1" customWidth="1"/>
    <col min="4" max="4" width="25" bestFit="1" customWidth="1"/>
    <col min="5" max="5" width="39" bestFit="1" customWidth="1"/>
    <col min="6" max="6" width="11.53515625" bestFit="1" customWidth="1"/>
    <col min="7" max="7" width="13"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20179</v>
      </c>
      <c r="B4" s="12">
        <f>VLOOKUP(A4,'Project Status'!C:D,2,FALSE)</f>
        <v>36015</v>
      </c>
      <c r="C4" s="12" t="str">
        <f>VLOOKUP(A4,'Project Status'!C:E,3,FALSE)</f>
        <v>CP_400024</v>
      </c>
      <c r="D4" s="12" t="str">
        <f>VLOOKUP(A4,'Project Status'!C:F,4,FALSE)</f>
        <v>17100 - Law: Business Affairs</v>
      </c>
      <c r="E4" s="12" t="str">
        <f>VLOOKUP(A4,'Project Status'!C:I,7,FALSE)</f>
        <v>Law School - Fire Alarm System Replacement</v>
      </c>
      <c r="F4" s="12" t="str">
        <f>VLOOKUP(A4,'Project Status'!C:J,8,FALSE)</f>
        <v>Construction</v>
      </c>
      <c r="G4" s="12" t="str">
        <f>VLOOKUP(A4,'Project Status'!C:K,9,FALSE)</f>
        <v>Bob Grummon</v>
      </c>
      <c r="H4" s="55">
        <f>VLOOKUP(A4,'Project Status'!C:M,11,FALSE)</f>
        <v>1445389</v>
      </c>
    </row>
    <row r="8" spans="1:8" x14ac:dyDescent="0.4">
      <c r="E8" s="56" t="s">
        <v>128</v>
      </c>
    </row>
    <row r="9" spans="1:8" x14ac:dyDescent="0.4">
      <c r="E9" s="23" t="s">
        <v>139</v>
      </c>
      <c r="F9" s="57">
        <v>44769</v>
      </c>
      <c r="H9" s="58">
        <v>722694.5</v>
      </c>
    </row>
    <row r="10" spans="1:8" x14ac:dyDescent="0.4">
      <c r="E10" s="46" t="s">
        <v>140</v>
      </c>
      <c r="F10" s="37"/>
      <c r="G10" s="37"/>
      <c r="H10" s="99">
        <f>H4*0.5</f>
        <v>722694.5</v>
      </c>
    </row>
    <row r="11" spans="1:8" x14ac:dyDescent="0.4">
      <c r="H11" s="60">
        <f>SUM(H9:H10)</f>
        <v>1445389</v>
      </c>
    </row>
    <row r="13" spans="1:8" x14ac:dyDescent="0.4">
      <c r="F13" s="61" t="s">
        <v>141</v>
      </c>
      <c r="G13" s="61"/>
      <c r="H13" s="62">
        <f>H11-H4</f>
        <v>0</v>
      </c>
    </row>
  </sheetData>
  <pageMargins left="0.7" right="0.7" top="0.75" bottom="0.75" header="0.3" footer="0.3"/>
  <pageSetup scale="9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4"/>
  </sheetPr>
  <dimension ref="A3:H14"/>
  <sheetViews>
    <sheetView zoomScaleNormal="100" workbookViewId="0">
      <selection activeCell="H14" sqref="H14"/>
    </sheetView>
  </sheetViews>
  <sheetFormatPr defaultRowHeight="14.6" x14ac:dyDescent="0.4"/>
  <cols>
    <col min="1" max="1" width="8" bestFit="1" customWidth="1"/>
    <col min="2" max="2" width="5.84375" bestFit="1" customWidth="1"/>
    <col min="3" max="3" width="9.84375" bestFit="1" customWidth="1"/>
    <col min="4" max="4" width="27.53515625" bestFit="1" customWidth="1"/>
    <col min="5" max="5" width="42.3828125" bestFit="1" customWidth="1"/>
    <col min="6" max="6" width="7.3828125" bestFit="1" customWidth="1"/>
    <col min="7" max="7" width="10.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20336</v>
      </c>
      <c r="B4" s="12">
        <f>VLOOKUP(A4,'Project Status'!C:D,2,FALSE)</f>
        <v>20075</v>
      </c>
      <c r="C4" s="12" t="str">
        <f>VLOOKUP(A4,'Project Status'!C:E,3,FALSE)</f>
        <v>CP_400056</v>
      </c>
      <c r="D4" s="12" t="str">
        <f>VLOOKUP(A4,'Project Status'!C:F,4,FALSE)</f>
        <v>13000 - Blair: Office of the Dean</v>
      </c>
      <c r="E4" s="12" t="str">
        <f>VLOOKUP(A4,'Project Status'!C:I,7,FALSE)</f>
        <v>Blair School of Music - Elevator #3 Modernization</v>
      </c>
      <c r="F4" s="12" t="str">
        <f>VLOOKUP(A4,'Project Status'!C:J,8,FALSE)</f>
        <v>Construction</v>
      </c>
      <c r="G4" s="12" t="str">
        <f>VLOOKUP(A4,'Project Status'!C:K,9,FALSE)</f>
        <v>Ben Bedock</v>
      </c>
      <c r="H4" s="55">
        <f>VLOOKUP(A4,'Project Status'!C:M,11,FALSE)</f>
        <v>327890</v>
      </c>
    </row>
    <row r="8" spans="1:8" x14ac:dyDescent="0.4">
      <c r="E8" s="56" t="s">
        <v>128</v>
      </c>
    </row>
    <row r="9" spans="1:8" x14ac:dyDescent="0.4">
      <c r="E9" s="23" t="s">
        <v>173</v>
      </c>
      <c r="F9" s="57" t="s">
        <v>144</v>
      </c>
      <c r="H9" s="58">
        <v>12900</v>
      </c>
    </row>
    <row r="10" spans="1:8" x14ac:dyDescent="0.4">
      <c r="E10" s="23" t="s">
        <v>173</v>
      </c>
      <c r="F10" t="s">
        <v>152</v>
      </c>
      <c r="H10" s="59">
        <v>2200</v>
      </c>
    </row>
    <row r="11" spans="1:8" x14ac:dyDescent="0.4">
      <c r="E11" s="23" t="s">
        <v>232</v>
      </c>
      <c r="F11" t="s">
        <v>184</v>
      </c>
      <c r="H11" s="59">
        <v>312790</v>
      </c>
    </row>
    <row r="12" spans="1:8" x14ac:dyDescent="0.4">
      <c r="H12" s="60">
        <f>SUM(H9:H11)</f>
        <v>327890</v>
      </c>
    </row>
    <row r="14" spans="1:8" x14ac:dyDescent="0.4">
      <c r="F14" s="61" t="s">
        <v>141</v>
      </c>
      <c r="G14" s="61"/>
      <c r="H14" s="62">
        <f>H4-H12</f>
        <v>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3:L17"/>
  <sheetViews>
    <sheetView zoomScaleNormal="100" workbookViewId="0">
      <selection activeCell="H17" sqref="H17"/>
    </sheetView>
  </sheetViews>
  <sheetFormatPr defaultRowHeight="14.6" x14ac:dyDescent="0.4"/>
  <cols>
    <col min="1" max="1" width="8" bestFit="1" customWidth="1"/>
    <col min="2" max="2" width="4.84375" bestFit="1" customWidth="1"/>
    <col min="3" max="3" width="9.84375" bestFit="1" customWidth="1"/>
    <col min="4" max="4" width="30.3828125" bestFit="1" customWidth="1"/>
    <col min="5" max="5" width="58.84375" bestFit="1" customWidth="1"/>
    <col min="6" max="6" width="7.84375" bestFit="1" customWidth="1"/>
    <col min="7" max="7" width="10.15234375" bestFit="1" customWidth="1"/>
    <col min="8" max="8" width="15.53515625" bestFit="1" customWidth="1"/>
    <col min="10" max="12" width="11.53515625" bestFit="1" customWidth="1"/>
  </cols>
  <sheetData>
    <row r="3" spans="1:12" s="54" customFormat="1" x14ac:dyDescent="0.4">
      <c r="A3" s="51" t="s">
        <v>130</v>
      </c>
      <c r="B3" s="50" t="s">
        <v>131</v>
      </c>
      <c r="C3" s="51" t="s">
        <v>132</v>
      </c>
      <c r="D3" s="52" t="s">
        <v>86</v>
      </c>
      <c r="E3" s="52" t="s">
        <v>87</v>
      </c>
      <c r="F3" s="51" t="s">
        <v>133</v>
      </c>
      <c r="G3" s="51" t="s">
        <v>134</v>
      </c>
      <c r="H3" s="53" t="s">
        <v>135</v>
      </c>
    </row>
    <row r="4" spans="1:12" x14ac:dyDescent="0.4">
      <c r="A4" s="12">
        <v>20431</v>
      </c>
      <c r="B4" s="12">
        <f>VLOOKUP(A4,'Project Status'!C:D,2,FALSE)</f>
        <v>8084</v>
      </c>
      <c r="C4" s="12" t="str">
        <f>VLOOKUP(A4,'Project Status'!C:E,3,FALSE)</f>
        <v>CP_400108</v>
      </c>
      <c r="D4" s="12" t="str">
        <f>VLOOKUP(A4,'Project Status'!C:F,4,FALSE)</f>
        <v>14000 - Divinity: Office of the Dean</v>
      </c>
      <c r="E4" s="12" t="str">
        <f>VLOOKUP(A4,'Project Status'!C:I,7,FALSE)</f>
        <v>Divinity - AHU 5N (5 &amp; 6) Replacement with Benton</v>
      </c>
      <c r="F4" s="12" t="str">
        <f>VLOOKUP(A4,'Project Status'!C:J,8,FALSE)</f>
        <v>Design</v>
      </c>
      <c r="G4" s="12" t="str">
        <f>VLOOKUP(A4,'Project Status'!C:K,9,FALSE)</f>
        <v>Hans Mooy</v>
      </c>
      <c r="H4" s="55">
        <f>VLOOKUP(A4,'Project Status'!C:M,11,FALSE)</f>
        <v>139640</v>
      </c>
    </row>
    <row r="5" spans="1:12" x14ac:dyDescent="0.4">
      <c r="H5" s="58"/>
    </row>
    <row r="6" spans="1:12" x14ac:dyDescent="0.4">
      <c r="H6" s="58"/>
      <c r="J6" s="96">
        <v>0.75</v>
      </c>
      <c r="K6" s="96">
        <v>0.25</v>
      </c>
    </row>
    <row r="7" spans="1:12" ht="15" thickBot="1" x14ac:dyDescent="0.45">
      <c r="H7" s="58"/>
      <c r="J7" s="97" t="s">
        <v>189</v>
      </c>
      <c r="K7" s="97" t="s">
        <v>190</v>
      </c>
    </row>
    <row r="8" spans="1:12" x14ac:dyDescent="0.4">
      <c r="E8" s="56" t="s">
        <v>128</v>
      </c>
      <c r="H8" s="58"/>
    </row>
    <row r="9" spans="1:12" x14ac:dyDescent="0.4">
      <c r="E9" s="46" t="s">
        <v>191</v>
      </c>
      <c r="H9" s="93">
        <f>39900+3000+3590</f>
        <v>46490</v>
      </c>
      <c r="J9" s="98"/>
      <c r="K9" s="59"/>
    </row>
    <row r="10" spans="1:12" x14ac:dyDescent="0.4">
      <c r="E10" s="23" t="s">
        <v>185</v>
      </c>
      <c r="F10" t="s">
        <v>184</v>
      </c>
      <c r="H10" s="58">
        <f>J10</f>
        <v>937.5</v>
      </c>
      <c r="I10" s="96"/>
      <c r="J10" s="98">
        <f>L10*J6</f>
        <v>937.5</v>
      </c>
      <c r="K10" s="59">
        <f>L10*K6</f>
        <v>312.5</v>
      </c>
      <c r="L10" s="92">
        <v>1250</v>
      </c>
    </row>
    <row r="11" spans="1:12" x14ac:dyDescent="0.4">
      <c r="E11" s="23" t="s">
        <v>185</v>
      </c>
      <c r="F11" s="57" t="s">
        <v>182</v>
      </c>
      <c r="H11" s="58">
        <f>J11</f>
        <v>61425</v>
      </c>
      <c r="J11" s="98">
        <f>L11*J6</f>
        <v>61425</v>
      </c>
      <c r="K11" s="59">
        <f>L11*K6</f>
        <v>20475</v>
      </c>
      <c r="L11" s="92">
        <v>81900</v>
      </c>
    </row>
    <row r="12" spans="1:12" x14ac:dyDescent="0.4">
      <c r="E12" s="46" t="s">
        <v>192</v>
      </c>
      <c r="F12" s="57"/>
      <c r="H12" s="93">
        <f>K10+K11</f>
        <v>20787.5</v>
      </c>
      <c r="J12" s="98"/>
      <c r="K12" s="59"/>
    </row>
    <row r="13" spans="1:12" x14ac:dyDescent="0.4">
      <c r="E13" s="23" t="s">
        <v>281</v>
      </c>
      <c r="F13" s="146" t="s">
        <v>246</v>
      </c>
      <c r="G13" s="146"/>
      <c r="H13" s="151">
        <f>J13</f>
        <v>7500</v>
      </c>
      <c r="J13" s="98">
        <f>L13*J6</f>
        <v>7500</v>
      </c>
      <c r="K13" s="59">
        <f>L13*K6</f>
        <v>2500</v>
      </c>
      <c r="L13" s="92">
        <v>10000</v>
      </c>
    </row>
    <row r="14" spans="1:12" x14ac:dyDescent="0.4">
      <c r="E14" s="46" t="s">
        <v>282</v>
      </c>
      <c r="F14" s="146"/>
      <c r="G14" s="146"/>
      <c r="H14" s="147">
        <f>K13</f>
        <v>2500</v>
      </c>
      <c r="J14" s="98"/>
      <c r="K14" s="59"/>
      <c r="L14" s="92"/>
    </row>
    <row r="15" spans="1:12" x14ac:dyDescent="0.4">
      <c r="H15" s="60">
        <f>SUM(H9:H14)</f>
        <v>139640</v>
      </c>
    </row>
    <row r="17" spans="6:8" x14ac:dyDescent="0.4">
      <c r="F17" s="61" t="s">
        <v>141</v>
      </c>
      <c r="G17" s="61"/>
      <c r="H17" s="95">
        <f>H4-H15</f>
        <v>0</v>
      </c>
    </row>
  </sheetData>
  <pageMargins left="0.7" right="0.7" top="0.75" bottom="0.75" header="0.3" footer="0.3"/>
  <pageSetup paperSize="5" scale="85"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4"/>
    <pageSetUpPr fitToPage="1"/>
  </sheetPr>
  <dimension ref="A3:H13"/>
  <sheetViews>
    <sheetView zoomScaleNormal="100" workbookViewId="0">
      <selection activeCell="H13" sqref="H13"/>
    </sheetView>
  </sheetViews>
  <sheetFormatPr defaultRowHeight="14.6" x14ac:dyDescent="0.4"/>
  <cols>
    <col min="1" max="1" width="8" bestFit="1" customWidth="1"/>
    <col min="2" max="2" width="4.3828125" bestFit="1" customWidth="1"/>
    <col min="3" max="3" width="9.84375" bestFit="1" customWidth="1"/>
    <col min="4" max="4" width="38.15234375" bestFit="1" customWidth="1"/>
    <col min="5" max="5" width="32.3046875" bestFit="1" customWidth="1"/>
    <col min="6" max="6" width="11.53515625" bestFit="1" customWidth="1"/>
    <col min="7" max="7" width="10.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20497</v>
      </c>
      <c r="B4" s="12">
        <f>VLOOKUP(A4,'Project Status'!C:D,2,FALSE)</f>
        <v>529</v>
      </c>
      <c r="C4" s="12" t="str">
        <f>VLOOKUP(A4,'Project Status'!C:E,3,FALSE)</f>
        <v>CP_400127</v>
      </c>
      <c r="D4" s="12" t="str">
        <f>VLOOKUP(A4,'Project Status'!C:F,4,FALSE)</f>
        <v>21000 - Peabody College: Office of the Dean</v>
      </c>
      <c r="E4" s="12" t="str">
        <f>VLOOKUP(A4,'Project Status'!C:I,7,FALSE)</f>
        <v>Jesup - Roof Replacement</v>
      </c>
      <c r="F4" s="12" t="str">
        <f>VLOOKUP(A4,'Project Status'!C:J,8,FALSE)</f>
        <v>Construction</v>
      </c>
      <c r="G4" s="12" t="str">
        <f>VLOOKUP(A4,'Project Status'!C:K,9,FALSE)</f>
        <v>Ben Bedock</v>
      </c>
      <c r="H4" s="55">
        <f>VLOOKUP(A4,'Project Status'!C:M,11,FALSE)</f>
        <v>456850</v>
      </c>
    </row>
    <row r="8" spans="1:8" x14ac:dyDescent="0.4">
      <c r="E8" s="56" t="s">
        <v>128</v>
      </c>
    </row>
    <row r="9" spans="1:8" x14ac:dyDescent="0.4">
      <c r="E9" s="23" t="s">
        <v>139</v>
      </c>
      <c r="F9" s="57">
        <v>44769</v>
      </c>
      <c r="H9" s="58">
        <v>79415.5</v>
      </c>
    </row>
    <row r="10" spans="1:8" x14ac:dyDescent="0.4">
      <c r="E10" s="46" t="s">
        <v>142</v>
      </c>
      <c r="F10" s="37"/>
      <c r="G10" s="37"/>
      <c r="H10" s="99">
        <f>372434.5+5000</f>
        <v>377434.5</v>
      </c>
    </row>
    <row r="11" spans="1:8" x14ac:dyDescent="0.4">
      <c r="H11" s="60">
        <f>SUM(H9:H10)</f>
        <v>456850</v>
      </c>
    </row>
    <row r="13" spans="1:8" x14ac:dyDescent="0.4">
      <c r="F13" s="61" t="s">
        <v>141</v>
      </c>
      <c r="G13" s="61"/>
      <c r="H13" s="62">
        <f>H11-H4</f>
        <v>0</v>
      </c>
    </row>
  </sheetData>
  <pageMargins left="0.7" right="0.7" top="0.75" bottom="0.75" header="0.3" footer="0.3"/>
  <pageSetup scale="6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4"/>
  </sheetPr>
  <dimension ref="A3:H13"/>
  <sheetViews>
    <sheetView zoomScaleNormal="100" workbookViewId="0">
      <selection activeCell="H13" sqref="H13"/>
    </sheetView>
  </sheetViews>
  <sheetFormatPr defaultRowHeight="14.6" x14ac:dyDescent="0.4"/>
  <cols>
    <col min="1" max="1" width="8" bestFit="1" customWidth="1"/>
    <col min="2" max="2" width="5.84375" bestFit="1" customWidth="1"/>
    <col min="3" max="3" width="9.84375" bestFit="1" customWidth="1"/>
    <col min="4" max="4" width="37.69140625" bestFit="1" customWidth="1"/>
    <col min="5" max="5" width="43" bestFit="1" customWidth="1"/>
    <col min="6" max="6" width="7.3828125" bestFit="1" customWidth="1"/>
    <col min="7" max="7" width="10.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20566</v>
      </c>
      <c r="B4" s="12">
        <f>VLOOKUP(A4,'Project Status'!C:D,2,FALSE)</f>
        <v>20054</v>
      </c>
      <c r="C4" s="12" t="str">
        <f>VLOOKUP(A4,'Project Status'!C:E,3,FALSE)</f>
        <v>CP_400151</v>
      </c>
      <c r="D4" s="12" t="str">
        <f>VLOOKUP(A4,'Project Status'!C:F,4,FALSE)</f>
        <v>12000 - Arts and Science: Office of the Dean</v>
      </c>
      <c r="E4" s="12" t="str">
        <f>VLOOKUP(A4,'Project Status'!C:I,7,FALSE)</f>
        <v>SC Chemistry (SC7) - Elevator 1 &amp; 2 Modernization</v>
      </c>
      <c r="F4" s="12" t="str">
        <f>VLOOKUP(A4,'Project Status'!C:J,8,FALSE)</f>
        <v>Award</v>
      </c>
      <c r="G4" s="12" t="str">
        <f>VLOOKUP(A4,'Project Status'!C:K,9,FALSE)</f>
        <v>Ben Bedock</v>
      </c>
      <c r="H4" s="55">
        <f>VLOOKUP(A4,'Project Status'!C:M,11,FALSE)</f>
        <v>781870</v>
      </c>
    </row>
    <row r="8" spans="1:8" x14ac:dyDescent="0.4">
      <c r="E8" s="56" t="s">
        <v>128</v>
      </c>
    </row>
    <row r="9" spans="1:8" x14ac:dyDescent="0.4">
      <c r="E9" s="23" t="s">
        <v>173</v>
      </c>
      <c r="F9" s="148" t="s">
        <v>144</v>
      </c>
      <c r="G9" s="146"/>
      <c r="H9" s="149">
        <v>17050</v>
      </c>
    </row>
    <row r="10" spans="1:8" x14ac:dyDescent="0.4">
      <c r="E10" s="23" t="s">
        <v>281</v>
      </c>
      <c r="F10" s="146" t="s">
        <v>231</v>
      </c>
      <c r="G10" s="146"/>
      <c r="H10" s="150">
        <v>764820</v>
      </c>
    </row>
    <row r="11" spans="1:8" x14ac:dyDescent="0.4">
      <c r="H11" s="60">
        <f>SUM(H9:H10)</f>
        <v>781870</v>
      </c>
    </row>
    <row r="13" spans="1:8" x14ac:dyDescent="0.4">
      <c r="F13" s="61" t="s">
        <v>141</v>
      </c>
      <c r="G13" s="61"/>
      <c r="H13" s="62">
        <f>H4-H11</f>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4"/>
  </sheetPr>
  <dimension ref="A3:H13"/>
  <sheetViews>
    <sheetView zoomScaleNormal="100" workbookViewId="0">
      <selection activeCell="H13" sqref="H13"/>
    </sheetView>
  </sheetViews>
  <sheetFormatPr defaultRowHeight="14.6" x14ac:dyDescent="0.4"/>
  <cols>
    <col min="1" max="1" width="8" bestFit="1" customWidth="1"/>
    <col min="2" max="2" width="4.84375" bestFit="1" customWidth="1"/>
    <col min="3" max="3" width="6.3046875" bestFit="1" customWidth="1"/>
    <col min="4" max="4" width="35.84375" bestFit="1" customWidth="1"/>
    <col min="5" max="5" width="29.15234375" bestFit="1" customWidth="1"/>
    <col min="6" max="6" width="7.3828125" bestFit="1" customWidth="1"/>
    <col min="7" max="7" width="11.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20574</v>
      </c>
      <c r="B4" s="12">
        <f>VLOOKUP(A4,'Project Status'!C:D,2,FALSE)</f>
        <v>8145</v>
      </c>
      <c r="C4" s="12" t="str">
        <f>VLOOKUP(A4,'Project Status'!C:E,3,FALSE)</f>
        <v>CP_400164</v>
      </c>
      <c r="D4" s="12" t="str">
        <f>VLOOKUP(A4,'Project Status'!C:F,4,FALSE)</f>
        <v>18200 - Basic Sciences: Office of the Dean</v>
      </c>
      <c r="E4" s="12" t="str">
        <f>VLOOKUP(A4,'Project Status'!C:I,7,FALSE)</f>
        <v>MRB III - Steam Coil Replacement</v>
      </c>
      <c r="F4" s="12" t="str">
        <f>VLOOKUP(A4,'Project Status'!C:J,8,FALSE)</f>
        <v>Award</v>
      </c>
      <c r="G4" s="12" t="str">
        <f>VLOOKUP(A4,'Project Status'!C:K,9,FALSE)</f>
        <v>Sean Rewers</v>
      </c>
      <c r="H4" s="55">
        <f>VLOOKUP(A4,'Project Status'!C:M,11,FALSE)</f>
        <v>218202</v>
      </c>
    </row>
    <row r="8" spans="1:8" x14ac:dyDescent="0.4">
      <c r="E8" s="56" t="s">
        <v>128</v>
      </c>
    </row>
    <row r="9" spans="1:8" x14ac:dyDescent="0.4">
      <c r="E9" s="23" t="s">
        <v>232</v>
      </c>
      <c r="F9" s="57" t="s">
        <v>144</v>
      </c>
      <c r="H9" s="58">
        <v>218202</v>
      </c>
    </row>
    <row r="13" spans="1:8" x14ac:dyDescent="0.4">
      <c r="F13" s="61" t="s">
        <v>141</v>
      </c>
      <c r="G13" s="61"/>
      <c r="H13" s="62">
        <f>H9-H4</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3:H13"/>
  <sheetViews>
    <sheetView zoomScaleNormal="100" workbookViewId="0">
      <selection activeCell="H13" sqref="H13"/>
    </sheetView>
  </sheetViews>
  <sheetFormatPr defaultRowHeight="14.6" x14ac:dyDescent="0.4"/>
  <cols>
    <col min="1" max="1" width="8" bestFit="1" customWidth="1"/>
    <col min="2" max="2" width="4.84375" bestFit="1" customWidth="1"/>
    <col min="3" max="3" width="9.84375" bestFit="1" customWidth="1"/>
    <col min="4" max="4" width="27.53515625" bestFit="1" customWidth="1"/>
    <col min="5" max="5" width="46.3046875" bestFit="1" customWidth="1"/>
    <col min="6" max="6" width="7.3828125" bestFit="1" customWidth="1"/>
    <col min="7" max="7" width="10.1523437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20577</v>
      </c>
      <c r="B4" s="12">
        <f>VLOOKUP(A4,'Project Status'!C:D,2,FALSE)</f>
        <v>8146</v>
      </c>
      <c r="C4" s="12" t="str">
        <f>VLOOKUP(A4,'Project Status'!C:E,3,FALSE)</f>
        <v>CP_400154</v>
      </c>
      <c r="D4" s="12" t="str">
        <f>VLOOKUP(A4,'Project Status'!C:F,4,FALSE)</f>
        <v>13000 - Blair: Office of the Dean</v>
      </c>
      <c r="E4" s="12" t="str">
        <f>VLOOKUP(A4,'Project Status'!C:I,7,FALSE)</f>
        <v>Blair School of Music - Air Handling Unit Replacement</v>
      </c>
      <c r="F4" s="12" t="str">
        <f>VLOOKUP(A4,'Project Status'!C:J,8,FALSE)</f>
        <v>Design</v>
      </c>
      <c r="G4" s="12" t="str">
        <f>VLOOKUP(A4,'Project Status'!C:K,9,FALSE)</f>
        <v>Hans Mooy</v>
      </c>
      <c r="H4" s="55">
        <f>VLOOKUP(A4,'Project Status'!C:M,11,FALSE)</f>
        <v>53750</v>
      </c>
    </row>
    <row r="8" spans="1:8" x14ac:dyDescent="0.4">
      <c r="E8" s="56" t="s">
        <v>128</v>
      </c>
    </row>
    <row r="9" spans="1:8" x14ac:dyDescent="0.4">
      <c r="E9" s="23" t="s">
        <v>173</v>
      </c>
      <c r="F9" s="57" t="s">
        <v>144</v>
      </c>
      <c r="H9" s="58">
        <v>53750</v>
      </c>
    </row>
    <row r="10" spans="1:8" x14ac:dyDescent="0.4">
      <c r="E10" s="23"/>
      <c r="H10" s="59"/>
    </row>
    <row r="11" spans="1:8" x14ac:dyDescent="0.4">
      <c r="H11" s="59"/>
    </row>
    <row r="13" spans="1:8" x14ac:dyDescent="0.4">
      <c r="F13" s="61" t="s">
        <v>141</v>
      </c>
      <c r="G13" s="61"/>
      <c r="H13" s="62">
        <f>H9-H4</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4"/>
  </sheetPr>
  <dimension ref="A3:H13"/>
  <sheetViews>
    <sheetView workbookViewId="0">
      <selection activeCell="H13" sqref="H13"/>
    </sheetView>
  </sheetViews>
  <sheetFormatPr defaultRowHeight="14.6" x14ac:dyDescent="0.4"/>
  <cols>
    <col min="1" max="1" width="8" bestFit="1" customWidth="1"/>
    <col min="2" max="2" width="4.84375" bestFit="1" customWidth="1"/>
    <col min="3" max="3" width="9.84375" bestFit="1" customWidth="1"/>
    <col min="4" max="4" width="38.15234375" bestFit="1" customWidth="1"/>
    <col min="5" max="5" width="37.84375" bestFit="1" customWidth="1"/>
    <col min="6" max="6" width="7.3828125" bestFit="1" customWidth="1"/>
    <col min="7" max="7" width="10.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20644</v>
      </c>
      <c r="B4" s="12">
        <f>VLOOKUP(A4,'Project Status'!C:D,2,FALSE)</f>
        <v>8241</v>
      </c>
      <c r="C4" s="12" t="str">
        <f>VLOOKUP(A4,'Project Status'!C:E,3,FALSE)</f>
        <v>CP_400171</v>
      </c>
      <c r="D4" s="12" t="str">
        <f>VLOOKUP(A4,'Project Status'!C:F,4,FALSE)</f>
        <v>21000 - Peabody College: Office of the Dean</v>
      </c>
      <c r="E4" s="12" t="str">
        <f>VLOOKUP(A4,'Project Status'!C:I,7,FALSE)</f>
        <v>Peabody Administration - Envelope Repairs</v>
      </c>
      <c r="F4" s="12" t="str">
        <f>VLOOKUP(A4,'Project Status'!C:J,8,FALSE)</f>
        <v>Design</v>
      </c>
      <c r="G4" s="12" t="str">
        <f>VLOOKUP(A4,'Project Status'!C:K,9,FALSE)</f>
        <v>Ben Bedock</v>
      </c>
      <c r="H4" s="121">
        <f>VLOOKUP(A4,'Project Status'!C:M,11,FALSE)</f>
        <v>2050</v>
      </c>
    </row>
    <row r="8" spans="1:8" x14ac:dyDescent="0.4">
      <c r="E8" s="56" t="s">
        <v>128</v>
      </c>
    </row>
    <row r="9" spans="1:8" x14ac:dyDescent="0.4">
      <c r="E9" s="23" t="s">
        <v>281</v>
      </c>
      <c r="F9" s="148" t="s">
        <v>144</v>
      </c>
      <c r="G9" s="146"/>
      <c r="H9" s="149">
        <v>2050</v>
      </c>
    </row>
    <row r="13" spans="1:8" x14ac:dyDescent="0.4">
      <c r="F13" s="61" t="s">
        <v>141</v>
      </c>
      <c r="G13" s="61"/>
      <c r="H13" s="62">
        <f>H9-H4</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3:H13"/>
  <sheetViews>
    <sheetView zoomScaleNormal="100" workbookViewId="0">
      <selection activeCell="H13" sqref="H13"/>
    </sheetView>
  </sheetViews>
  <sheetFormatPr defaultRowHeight="14.6" x14ac:dyDescent="0.4"/>
  <cols>
    <col min="1" max="1" width="8" bestFit="1" customWidth="1"/>
    <col min="2" max="2" width="4.84375" bestFit="1" customWidth="1"/>
    <col min="3" max="3" width="9.84375" bestFit="1" customWidth="1"/>
    <col min="4" max="4" width="34" bestFit="1" customWidth="1"/>
    <col min="5" max="5" width="47.3828125" bestFit="1" customWidth="1"/>
    <col min="6" max="6" width="7.3828125" bestFit="1" customWidth="1"/>
    <col min="7" max="7" width="11.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20667</v>
      </c>
      <c r="B4" s="12">
        <f>VLOOKUP(A4,'Project Status'!C:D,2,FALSE)</f>
        <v>8168</v>
      </c>
      <c r="C4" s="12" t="str">
        <f>VLOOKUP(A4,'Project Status'!C:E,3,FALSE)</f>
        <v>CP_400160</v>
      </c>
      <c r="D4" s="12" t="str">
        <f>VLOOKUP(A4,'Project Status'!C:F,4,FALSE)</f>
        <v>15000 - Engineering: Office of the Dean</v>
      </c>
      <c r="E4" s="12" t="str">
        <f>VLOOKUP(A4,'Project Status'!C:I,7,FALSE)</f>
        <v>1025 16th Avenue - Mechanical and Electrical Upgrades</v>
      </c>
      <c r="F4" s="12" t="str">
        <f>VLOOKUP(A4,'Project Status'!C:J,8,FALSE)</f>
        <v>Design</v>
      </c>
      <c r="G4" s="12" t="str">
        <f>VLOOKUP(A4,'Project Status'!C:K,9,FALSE)</f>
        <v>Sean Rewers</v>
      </c>
      <c r="H4" s="55">
        <f>VLOOKUP(A4,'Project Status'!C:M,11,FALSE)</f>
        <v>135000</v>
      </c>
    </row>
    <row r="8" spans="1:8" x14ac:dyDescent="0.4">
      <c r="E8" s="56" t="s">
        <v>128</v>
      </c>
    </row>
    <row r="9" spans="1:8" x14ac:dyDescent="0.4">
      <c r="E9" s="23" t="s">
        <v>185</v>
      </c>
      <c r="F9" s="57" t="s">
        <v>144</v>
      </c>
      <c r="H9" s="58">
        <v>135000</v>
      </c>
    </row>
    <row r="10" spans="1:8" x14ac:dyDescent="0.4">
      <c r="E10" s="23"/>
      <c r="H10" s="59"/>
    </row>
    <row r="11" spans="1:8" x14ac:dyDescent="0.4">
      <c r="H11" s="59"/>
    </row>
    <row r="13" spans="1:8" x14ac:dyDescent="0.4">
      <c r="F13" s="61" t="s">
        <v>141</v>
      </c>
      <c r="G13" s="61"/>
      <c r="H13" s="62">
        <f>H9-H4</f>
        <v>0</v>
      </c>
    </row>
  </sheetData>
  <pageMargins left="0.7" right="0.7" top="0.75" bottom="0.75" header="0.3" footer="0.3"/>
  <pageSetup paperSize="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3:H13"/>
  <sheetViews>
    <sheetView workbookViewId="0">
      <selection activeCell="H13" sqref="H13"/>
    </sheetView>
  </sheetViews>
  <sheetFormatPr defaultRowHeight="14.6" x14ac:dyDescent="0.4"/>
  <cols>
    <col min="1" max="1" width="8" bestFit="1" customWidth="1"/>
    <col min="2" max="2" width="4.84375" bestFit="1" customWidth="1"/>
    <col min="3" max="3" width="9.84375" bestFit="1" customWidth="1"/>
    <col min="4" max="4" width="34" bestFit="1" customWidth="1"/>
    <col min="5" max="5" width="28" bestFit="1" customWidth="1"/>
    <col min="6" max="6" width="21.3828125" bestFit="1" customWidth="1"/>
    <col min="7" max="7" width="11.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20668</v>
      </c>
      <c r="B4" s="12">
        <f>VLOOKUP(A4,'Project Status'!C:D,2,FALSE)</f>
        <v>8151</v>
      </c>
      <c r="C4" s="12" t="str">
        <f>VLOOKUP(A4,'Project Status'!C:E,3,FALSE)</f>
        <v>CP_400163</v>
      </c>
      <c r="D4" s="12" t="str">
        <f>VLOOKUP(A4,'Project Status'!C:F,4,FALSE)</f>
        <v>15000 - Engineering: Office of the Dean</v>
      </c>
      <c r="E4" s="12" t="str">
        <f>VLOOKUP(A4,'Project Status'!C:I,7,FALSE)</f>
        <v>Keck FEL - Mechanical Upgrades</v>
      </c>
      <c r="F4" s="12" t="str">
        <f>VLOOKUP(A4,'Project Status'!C:J,8,FALSE)</f>
        <v>Design</v>
      </c>
      <c r="G4" s="12" t="str">
        <f>VLOOKUP(A4,'Project Status'!C:K,9,FALSE)</f>
        <v>Sean Rewers</v>
      </c>
      <c r="H4" s="121">
        <f>VLOOKUP(A4,'Project Status'!C:M,11,FALSE)</f>
        <v>195000</v>
      </c>
    </row>
    <row r="8" spans="1:8" x14ac:dyDescent="0.4">
      <c r="E8" s="56" t="s">
        <v>128</v>
      </c>
    </row>
    <row r="9" spans="1:8" x14ac:dyDescent="0.4">
      <c r="E9" s="23" t="s">
        <v>232</v>
      </c>
      <c r="F9" s="57" t="s">
        <v>144</v>
      </c>
      <c r="H9" s="58">
        <v>195000</v>
      </c>
    </row>
    <row r="13" spans="1:8" x14ac:dyDescent="0.4">
      <c r="F13" s="61" t="s">
        <v>141</v>
      </c>
      <c r="G13" s="61"/>
      <c r="H13" s="62">
        <f>H9-H4</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G36"/>
  <sheetViews>
    <sheetView tabSelected="1" zoomScaleNormal="100" workbookViewId="0">
      <selection activeCell="C2" sqref="C2"/>
    </sheetView>
  </sheetViews>
  <sheetFormatPr defaultRowHeight="14.6" x14ac:dyDescent="0.4"/>
  <cols>
    <col min="1" max="1" width="3.3046875" bestFit="1" customWidth="1"/>
    <col min="2" max="2" width="20.69140625" customWidth="1"/>
    <col min="3" max="3" width="9.69140625" customWidth="1"/>
    <col min="4" max="4" width="17.15234375" bestFit="1" customWidth="1"/>
    <col min="5" max="5" width="60.53515625" customWidth="1"/>
    <col min="6" max="6" width="14.3828125" style="58" bestFit="1" customWidth="1"/>
    <col min="7" max="7" width="14" style="58" bestFit="1" customWidth="1"/>
  </cols>
  <sheetData>
    <row r="1" spans="1:7" s="8" customFormat="1" x14ac:dyDescent="0.4">
      <c r="B1" s="11" t="s">
        <v>202</v>
      </c>
      <c r="C1" s="11"/>
      <c r="D1" s="11"/>
      <c r="F1" s="88"/>
      <c r="G1" s="88"/>
    </row>
    <row r="2" spans="1:7" s="8" customFormat="1" x14ac:dyDescent="0.4">
      <c r="B2" s="115" t="s">
        <v>112</v>
      </c>
      <c r="C2" s="116">
        <v>44902</v>
      </c>
      <c r="D2" s="47"/>
      <c r="F2" s="88"/>
      <c r="G2" s="88"/>
    </row>
    <row r="4" spans="1:7" x14ac:dyDescent="0.4">
      <c r="B4" s="61" t="s">
        <v>113</v>
      </c>
      <c r="C4" s="61"/>
      <c r="D4" s="61"/>
      <c r="F4" s="89" t="s">
        <v>178</v>
      </c>
      <c r="G4" s="89" t="s">
        <v>179</v>
      </c>
    </row>
    <row r="5" spans="1:7" s="24" customFormat="1" ht="29.15" x14ac:dyDescent="0.4">
      <c r="B5" s="81" t="s">
        <v>176</v>
      </c>
      <c r="C5" s="82" t="s">
        <v>175</v>
      </c>
      <c r="D5" s="81" t="s">
        <v>86</v>
      </c>
      <c r="E5" s="25" t="s">
        <v>177</v>
      </c>
      <c r="F5" s="90" t="s">
        <v>274</v>
      </c>
      <c r="G5" s="91" t="s">
        <v>275</v>
      </c>
    </row>
    <row r="6" spans="1:7" x14ac:dyDescent="0.4">
      <c r="A6" s="145">
        <v>1</v>
      </c>
      <c r="B6" t="str">
        <f>VLOOKUP(C6,'Project Status'!C:J,8,FALSE)</f>
        <v>Design</v>
      </c>
      <c r="C6" s="77">
        <v>10085</v>
      </c>
      <c r="D6" s="35" t="str">
        <f>VLOOKUP(C6,'Project Status'!C:G,5,FALSE)</f>
        <v>Peabody</v>
      </c>
      <c r="E6" t="str">
        <f>VLOOKUP(C6,'Project Status'!C:I,7,FALSE)</f>
        <v>One Magnolia Circle - Modify/Upgrade Electrical and Grounding</v>
      </c>
      <c r="F6" s="142">
        <f>VLOOKUP(C6,'Project Status'!C:L,10,FALSE)</f>
        <v>145000</v>
      </c>
      <c r="G6" s="144">
        <f>VLOOKUP(C6,'Project Status'!C:Q,15,FALSE)</f>
        <v>145000</v>
      </c>
    </row>
    <row r="7" spans="1:7" x14ac:dyDescent="0.4">
      <c r="A7" s="145">
        <v>2</v>
      </c>
      <c r="B7" t="str">
        <f>VLOOKUP(C7,'Project Status'!C:J,8,FALSE)</f>
        <v>Programming / Planning</v>
      </c>
      <c r="C7" s="77">
        <v>10086</v>
      </c>
      <c r="D7" s="35" t="str">
        <f>VLOOKUP(C7,'Project Status'!C:G,5,FALSE)</f>
        <v>Blair</v>
      </c>
      <c r="E7" t="str">
        <f>VLOOKUP(C7,'Project Status'!C:I,7,FALSE)</f>
        <v>Blair School of Music - Replace Boiler</v>
      </c>
      <c r="F7" s="142">
        <f>VLOOKUP(C7,'Project Status'!C:L,10,FALSE)</f>
        <v>550000</v>
      </c>
      <c r="G7" s="144">
        <f>VLOOKUP(C7,'Project Status'!C:Q,15,FALSE)</f>
        <v>17000</v>
      </c>
    </row>
    <row r="8" spans="1:7" x14ac:dyDescent="0.4">
      <c r="A8" s="145">
        <v>3</v>
      </c>
      <c r="B8" t="str">
        <f>VLOOKUP(C8,'Project Status'!C:J,8,FALSE)</f>
        <v>Construction</v>
      </c>
      <c r="C8" s="77">
        <v>10098</v>
      </c>
      <c r="D8" s="35" t="str">
        <f>VLOOKUP(C8,'Project Status'!C:G,5,FALSE)</f>
        <v>SOM Basic Sciences</v>
      </c>
      <c r="E8" t="str">
        <f>VLOOKUP(C8,'Project Status'!C:I,7,FALSE)</f>
        <v>MRB III 4th Floor - Replace Controls (Phase 2 of 5)</v>
      </c>
      <c r="F8" s="142">
        <f>VLOOKUP(C8,'Project Status'!C:L,10,FALSE)</f>
        <v>1216485.5</v>
      </c>
      <c r="G8" s="144">
        <f>VLOOKUP(C8,'Project Status'!C:Q,15,FALSE)</f>
        <v>1216485.5</v>
      </c>
    </row>
    <row r="9" spans="1:7" x14ac:dyDescent="0.4">
      <c r="A9" s="145">
        <v>4</v>
      </c>
      <c r="B9" t="str">
        <f>VLOOKUP(C9,'Project Status'!C:J,8,FALSE)</f>
        <v>Construction</v>
      </c>
      <c r="C9" s="77">
        <v>10146</v>
      </c>
      <c r="D9" s="35" t="str">
        <f>VLOOKUP(C9,'Project Status'!C:G,5,FALSE)</f>
        <v>Nursing</v>
      </c>
      <c r="E9" t="str">
        <f>VLOOKUP(C9,'Project Status'!C:I,7,FALSE)</f>
        <v>Godchaux Hall - HVAC Engineering</v>
      </c>
      <c r="F9" s="142" t="str">
        <f>VLOOKUP(C9,'Project Status'!C:L,10,FALSE)</f>
        <v>TBD</v>
      </c>
      <c r="G9" s="144">
        <f>VLOOKUP(C9,'Project Status'!C:Q,15,FALSE)</f>
        <v>62100</v>
      </c>
    </row>
    <row r="10" spans="1:7" x14ac:dyDescent="0.4">
      <c r="A10" s="145">
        <v>5</v>
      </c>
      <c r="B10" t="str">
        <f>VLOOKUP(C10,'Project Status'!C:J,8,FALSE)</f>
        <v>Construction</v>
      </c>
      <c r="C10" s="77">
        <v>20179</v>
      </c>
      <c r="D10" s="35" t="str">
        <f>VLOOKUP(C10,'Project Status'!C:G,5,FALSE)</f>
        <v>Law</v>
      </c>
      <c r="E10" t="str">
        <f>VLOOKUP(C10,'Project Status'!C:I,7,FALSE)</f>
        <v>Law School - Fire Alarm System Replacement</v>
      </c>
      <c r="F10" s="142">
        <f>VLOOKUP(C10,'Project Status'!C:L,10,FALSE)</f>
        <v>1445389</v>
      </c>
      <c r="G10" s="144">
        <f>VLOOKUP(C10,'Project Status'!C:Q,15,FALSE)</f>
        <v>722694.5</v>
      </c>
    </row>
    <row r="11" spans="1:7" x14ac:dyDescent="0.4">
      <c r="A11" s="145">
        <v>6</v>
      </c>
      <c r="B11" t="str">
        <f>VLOOKUP(C11,'Project Status'!C:J,8,FALSE)</f>
        <v>Construction</v>
      </c>
      <c r="C11" s="77">
        <v>20336</v>
      </c>
      <c r="D11" s="35" t="str">
        <f>VLOOKUP(C11,'Project Status'!C:G,5,FALSE)</f>
        <v>Blair</v>
      </c>
      <c r="E11" t="str">
        <f>VLOOKUP(C11,'Project Status'!C:I,7,FALSE)</f>
        <v>Blair School of Music - Elevator #3 Modernization</v>
      </c>
      <c r="F11" s="142">
        <f>VLOOKUP(C11,'Project Status'!C:L,10,FALSE)</f>
        <v>327890</v>
      </c>
      <c r="G11" s="144">
        <f>VLOOKUP(C11,'Project Status'!C:Q,15,FALSE)</f>
        <v>245917.5</v>
      </c>
    </row>
    <row r="12" spans="1:7" x14ac:dyDescent="0.4">
      <c r="A12" s="145">
        <v>7</v>
      </c>
      <c r="B12" t="str">
        <f>VLOOKUP(C12,'Project Status'!C:J,8,FALSE)</f>
        <v>Design</v>
      </c>
      <c r="C12" s="77">
        <v>20431</v>
      </c>
      <c r="D12" s="35" t="str">
        <f>VLOOKUP(C12,'Project Status'!C:G,5,FALSE)</f>
        <v>Divinity</v>
      </c>
      <c r="E12" t="str">
        <f>VLOOKUP(C12,'Project Status'!C:I,7,FALSE)</f>
        <v>Divinity - AHU 5N (5 &amp; 6) Replacement with Benton</v>
      </c>
      <c r="F12" s="142">
        <f>VLOOKUP(C12,'Project Status'!C:L,10,FALSE)</f>
        <v>4375000</v>
      </c>
      <c r="G12" s="144">
        <f>VLOOKUP(C12,'Project Status'!C:Q,15,FALSE)</f>
        <v>1093750</v>
      </c>
    </row>
    <row r="13" spans="1:7" x14ac:dyDescent="0.4">
      <c r="A13" s="145">
        <v>8</v>
      </c>
      <c r="B13" t="str">
        <f>VLOOKUP(C13,'Project Status'!C:J,8,FALSE)</f>
        <v>Design</v>
      </c>
      <c r="C13" s="77">
        <v>20489</v>
      </c>
      <c r="D13" s="35" t="str">
        <f>VLOOKUP(C13,'Project Status'!C:G,5,FALSE)</f>
        <v>Divinity</v>
      </c>
      <c r="E13" t="str">
        <f>VLOOKUP(C13,'Project Status'!C:I,7,FALSE)</f>
        <v xml:space="preserve">Divinity - AHU 1N (1 &amp; 3) Replacement </v>
      </c>
      <c r="F13" s="142">
        <f>VLOOKUP(C13,'Project Status'!C:L,10,FALSE)</f>
        <v>3726000</v>
      </c>
      <c r="G13" s="144">
        <f>VLOOKUP(C13,'Project Status'!C:Q,15,FALSE)</f>
        <v>372600</v>
      </c>
    </row>
    <row r="14" spans="1:7" x14ac:dyDescent="0.4">
      <c r="A14" s="145">
        <v>9</v>
      </c>
      <c r="B14" t="str">
        <f>VLOOKUP(C14,'Project Status'!C:J,8,FALSE)</f>
        <v>Construction</v>
      </c>
      <c r="C14" s="77">
        <v>20497</v>
      </c>
      <c r="D14" s="35" t="str">
        <f>VLOOKUP(C14,'Project Status'!C:G,5,FALSE)</f>
        <v>Peabody</v>
      </c>
      <c r="E14" t="str">
        <f>VLOOKUP(C14,'Project Status'!C:I,7,FALSE)</f>
        <v>Jesup - Roof Replacement</v>
      </c>
      <c r="F14" s="142">
        <f>VLOOKUP(C14,'Project Status'!C:L,10,FALSE)</f>
        <v>456850</v>
      </c>
      <c r="G14" s="144">
        <f>VLOOKUP(C14,'Project Status'!C:Q,15,FALSE)</f>
        <v>79415.5</v>
      </c>
    </row>
    <row r="15" spans="1:7" x14ac:dyDescent="0.4">
      <c r="A15" s="145">
        <v>10</v>
      </c>
      <c r="B15" t="str">
        <f>VLOOKUP(C15,'Project Status'!C:J,8,FALSE)</f>
        <v>Programming / Planning</v>
      </c>
      <c r="C15" s="77">
        <v>20506</v>
      </c>
      <c r="D15" s="35" t="str">
        <f>VLOOKUP(C15,'Project Status'!C:G,5,FALSE)</f>
        <v>Peabody</v>
      </c>
      <c r="E15" t="str">
        <f>VLOOKUP(C15,'Project Status'!C:I,7,FALSE)</f>
        <v>Wyatt Center - Window Replacement (4th Floor)</v>
      </c>
      <c r="F15" s="142">
        <f>VLOOKUP(C15,'Project Status'!C:L,10,FALSE)</f>
        <v>1100000</v>
      </c>
      <c r="G15" s="144">
        <f>VLOOKUP(C15,'Project Status'!C:Q,15,FALSE)</f>
        <v>1100000</v>
      </c>
    </row>
    <row r="16" spans="1:7" x14ac:dyDescent="0.4">
      <c r="A16" s="145">
        <v>11</v>
      </c>
      <c r="B16" t="str">
        <f>VLOOKUP(C16,'Project Status'!C:J,8,FALSE)</f>
        <v>Bidding</v>
      </c>
      <c r="C16" s="77">
        <v>20562</v>
      </c>
      <c r="D16" s="35" t="str">
        <f>VLOOKUP(C16,'Project Status'!C:G,5,FALSE)</f>
        <v>Peabody</v>
      </c>
      <c r="E16" t="str">
        <f>VLOOKUP(C16,'Project Status'!C:I,7,FALSE)</f>
        <v>Wyatt Center - VAV Replacement</v>
      </c>
      <c r="F16" s="142">
        <f>VLOOKUP(C16,'Project Status'!C:L,10,FALSE)</f>
        <v>285480</v>
      </c>
      <c r="G16" s="144">
        <f>VLOOKUP(C16,'Project Status'!C:Q,15,FALSE)</f>
        <v>214110</v>
      </c>
    </row>
    <row r="17" spans="1:7" x14ac:dyDescent="0.4">
      <c r="A17" s="145">
        <v>12</v>
      </c>
      <c r="B17" t="str">
        <f>VLOOKUP(C17,'Project Status'!C:J,8,FALSE)</f>
        <v>Award</v>
      </c>
      <c r="C17" s="77">
        <v>20566</v>
      </c>
      <c r="D17" s="35" t="str">
        <f>VLOOKUP(C17,'Project Status'!C:G,5,FALSE)</f>
        <v>Arts &amp; Science</v>
      </c>
      <c r="E17" t="str">
        <f>VLOOKUP(C17,'Project Status'!C:I,7,FALSE)</f>
        <v>SC Chemistry (SC7) - Elevator 1 &amp; 2 Modernization</v>
      </c>
      <c r="F17" s="142">
        <f>VLOOKUP(C17,'Project Status'!C:L,10,FALSE)</f>
        <v>781870</v>
      </c>
      <c r="G17" s="144">
        <f>VLOOKUP(C17,'Project Status'!C:Q,15,FALSE)</f>
        <v>781870</v>
      </c>
    </row>
    <row r="18" spans="1:7" x14ac:dyDescent="0.4">
      <c r="A18" s="145">
        <v>13</v>
      </c>
      <c r="B18" t="str">
        <f>VLOOKUP(C18,'Project Status'!C:J,8,FALSE)</f>
        <v>Bidding</v>
      </c>
      <c r="C18" s="77">
        <v>20573</v>
      </c>
      <c r="D18" s="35" t="str">
        <f>VLOOKUP(C18,'Project Status'!C:G,5,FALSE)</f>
        <v>Peabody</v>
      </c>
      <c r="E18" t="str">
        <f>VLOOKUP(C18,'Project Status'!C:I,7,FALSE)</f>
        <v>Wyatt Center - Roof Replacement</v>
      </c>
      <c r="F18" s="142">
        <f>VLOOKUP(C18,'Project Status'!C:L,10,FALSE)</f>
        <v>750000</v>
      </c>
      <c r="G18" s="144">
        <f>VLOOKUP(C18,'Project Status'!C:Q,15,FALSE)</f>
        <v>750000</v>
      </c>
    </row>
    <row r="19" spans="1:7" x14ac:dyDescent="0.4">
      <c r="A19" s="145">
        <v>14</v>
      </c>
      <c r="B19" t="str">
        <f>VLOOKUP(C19,'Project Status'!C:J,8,FALSE)</f>
        <v>Award</v>
      </c>
      <c r="C19" s="77">
        <v>20574</v>
      </c>
      <c r="D19" s="35" t="str">
        <f>VLOOKUP(C19,'Project Status'!C:G,5,FALSE)</f>
        <v>SOM Basic Sciences</v>
      </c>
      <c r="E19" t="str">
        <f>VLOOKUP(C19,'Project Status'!C:I,7,FALSE)</f>
        <v>MRB III - Steam Coil Replacement</v>
      </c>
      <c r="F19" s="142">
        <f>VLOOKUP(C19,'Project Status'!C:L,10,FALSE)</f>
        <v>218202</v>
      </c>
      <c r="G19" s="144">
        <f>VLOOKUP(C19,'Project Status'!C:Q,15,FALSE)</f>
        <v>218202</v>
      </c>
    </row>
    <row r="20" spans="1:7" x14ac:dyDescent="0.4">
      <c r="A20" s="145">
        <v>15</v>
      </c>
      <c r="B20" t="str">
        <f>VLOOKUP(C20,'Project Status'!C:J,8,FALSE)</f>
        <v>Design</v>
      </c>
      <c r="C20" s="77">
        <v>20577</v>
      </c>
      <c r="D20" s="35" t="str">
        <f>VLOOKUP(C20,'Project Status'!C:G,5,FALSE)</f>
        <v>Blair</v>
      </c>
      <c r="E20" t="str">
        <f>VLOOKUP(C20,'Project Status'!C:I,7,FALSE)</f>
        <v>Blair School of Music - Air Handling Unit Replacement</v>
      </c>
      <c r="F20" s="142">
        <f>VLOOKUP(C20,'Project Status'!C:L,10,FALSE)</f>
        <v>4500000</v>
      </c>
      <c r="G20" s="144">
        <f>VLOOKUP(C20,'Project Status'!C:Q,15,FALSE)</f>
        <v>1125000</v>
      </c>
    </row>
    <row r="21" spans="1:7" x14ac:dyDescent="0.4">
      <c r="A21" s="145">
        <v>16</v>
      </c>
      <c r="B21" t="str">
        <f>VLOOKUP(C21,'Project Status'!C:J,8,FALSE)</f>
        <v>Design</v>
      </c>
      <c r="C21" s="77">
        <v>20644</v>
      </c>
      <c r="D21" s="35" t="str">
        <f>VLOOKUP(C21,'Project Status'!C:G,5,FALSE)</f>
        <v>Peabody</v>
      </c>
      <c r="E21" t="str">
        <f>VLOOKUP(C21,'Project Status'!C:I,7,FALSE)</f>
        <v>Peabody Administration - Envelope Repairs</v>
      </c>
      <c r="F21" s="142">
        <f>VLOOKUP(C21,'Project Status'!C:L,10,FALSE)</f>
        <v>560000</v>
      </c>
      <c r="G21" s="144">
        <f>VLOOKUP(C21,'Project Status'!C:Q,15,FALSE)</f>
        <v>560000</v>
      </c>
    </row>
    <row r="22" spans="1:7" x14ac:dyDescent="0.4">
      <c r="A22" s="145">
        <v>17</v>
      </c>
      <c r="B22" t="str">
        <f>VLOOKUP(C22,'Project Status'!C:J,8,FALSE)</f>
        <v>Design</v>
      </c>
      <c r="C22" s="77">
        <v>20645</v>
      </c>
      <c r="D22" s="35" t="str">
        <f>VLOOKUP(C22,'Project Status'!C:G,5,FALSE)</f>
        <v>Arts &amp; Science</v>
      </c>
      <c r="E22" t="str">
        <f>VLOOKUP(C22,'Project Status'!C:I,7,FALSE)</f>
        <v>Benson Old Central - Replace Soffit and Doors</v>
      </c>
      <c r="F22" s="142" t="str">
        <f>VLOOKUP(C22,'Project Status'!C:L,10,FALSE)</f>
        <v>TBD</v>
      </c>
      <c r="G22" s="144" t="str">
        <f>VLOOKUP(C22,'Project Status'!C:Q,15,FALSE)</f>
        <v>TBD</v>
      </c>
    </row>
    <row r="23" spans="1:7" x14ac:dyDescent="0.4">
      <c r="A23" s="145">
        <v>18</v>
      </c>
      <c r="B23" t="str">
        <f>VLOOKUP(C23,'Project Status'!C:J,8,FALSE)</f>
        <v>Design</v>
      </c>
      <c r="C23" s="77">
        <v>20667</v>
      </c>
      <c r="D23" s="35" t="str">
        <f>VLOOKUP(C23,'Project Status'!C:G,5,FALSE)</f>
        <v>Engineering</v>
      </c>
      <c r="E23" t="str">
        <f>VLOOKUP(C23,'Project Status'!C:I,7,FALSE)</f>
        <v>1025 16th Avenue - Mechanical and Electrical Upgrades</v>
      </c>
      <c r="F23" s="142" t="str">
        <f>VLOOKUP(C23,'Project Status'!C:L,10,FALSE)</f>
        <v>TBD</v>
      </c>
      <c r="G23" s="144">
        <f>VLOOKUP(C23,'Project Status'!C:Q,15,FALSE)</f>
        <v>135000</v>
      </c>
    </row>
    <row r="24" spans="1:7" x14ac:dyDescent="0.4">
      <c r="A24" s="145">
        <v>19</v>
      </c>
      <c r="B24" t="str">
        <f>VLOOKUP(C24,'Project Status'!C:J,8,FALSE)</f>
        <v>Design</v>
      </c>
      <c r="C24" s="77">
        <v>20668</v>
      </c>
      <c r="D24" s="35" t="str">
        <f>VLOOKUP(C24,'Project Status'!C:G,5,FALSE)</f>
        <v>Engineering</v>
      </c>
      <c r="E24" t="str">
        <f>VLOOKUP(C24,'Project Status'!C:I,7,FALSE)</f>
        <v>Keck FEL - Mechanical Upgrades</v>
      </c>
      <c r="F24" s="142" t="str">
        <f>VLOOKUP(C24,'Project Status'!C:L,10,FALSE)</f>
        <v>TBD</v>
      </c>
      <c r="G24" s="144">
        <f>VLOOKUP(C24,'Project Status'!C:Q,15,FALSE)</f>
        <v>195000</v>
      </c>
    </row>
    <row r="25" spans="1:7" x14ac:dyDescent="0.4">
      <c r="A25" s="145">
        <v>20</v>
      </c>
      <c r="B25" t="str">
        <f>VLOOKUP(C25,'Project Status'!C:J,8,FALSE)</f>
        <v>Design</v>
      </c>
      <c r="C25" s="77">
        <v>20698</v>
      </c>
      <c r="D25" s="35" t="str">
        <f>VLOOKUP(C25,'Project Status'!C:G,5,FALSE)</f>
        <v>Arts &amp; Science</v>
      </c>
      <c r="E25" t="str">
        <f>VLOOKUP(C25,'Project Status'!C:I,7,FALSE)</f>
        <v>Wilson Hall - Fire Alarm Replacement</v>
      </c>
      <c r="F25" s="142" t="str">
        <f>VLOOKUP(C25,'Project Status'!C:L,10,FALSE)</f>
        <v>TBD</v>
      </c>
      <c r="G25" s="144">
        <f>VLOOKUP(C25,'Project Status'!C:Q,15,FALSE)</f>
        <v>24950</v>
      </c>
    </row>
    <row r="26" spans="1:7" x14ac:dyDescent="0.4">
      <c r="A26" s="145">
        <v>21</v>
      </c>
      <c r="B26" t="str">
        <f>VLOOKUP(C26,'Project Status'!C:J,8,FALSE)</f>
        <v>Design</v>
      </c>
      <c r="C26" s="77">
        <v>20700</v>
      </c>
      <c r="D26" s="35" t="str">
        <f>VLOOKUP(C26,'Project Status'!C:G,5,FALSE)</f>
        <v>Arts &amp; Science</v>
      </c>
      <c r="E26" t="str">
        <f>VLOOKUP(C26,'Project Status'!C:I,7,FALSE)</f>
        <v>SC Chemistry (SC7) - Steam Generator 1 Removal and Connection to Central Plant Steam</v>
      </c>
      <c r="F26" s="142" t="str">
        <f>VLOOKUP(C26,'Project Status'!C:L,10,FALSE)</f>
        <v>TBD</v>
      </c>
      <c r="G26" s="144">
        <f>VLOOKUP(C26,'Project Status'!C:Q,15,FALSE)</f>
        <v>2500</v>
      </c>
    </row>
    <row r="27" spans="1:7" x14ac:dyDescent="0.4">
      <c r="A27" s="145">
        <v>22</v>
      </c>
      <c r="B27" t="str">
        <f>VLOOKUP(C27,'Project Status'!C:J,8,FALSE)</f>
        <v>Programming / Planning</v>
      </c>
      <c r="C27" s="77">
        <v>20701</v>
      </c>
      <c r="D27" s="35" t="str">
        <f>VLOOKUP(C27,'Project Status'!C:G,5,FALSE)</f>
        <v>Arts &amp; Science</v>
      </c>
      <c r="E27" t="str">
        <f>VLOOKUP(C27,'Project Status'!C:I,7,FALSE)</f>
        <v>SC Science &amp; Engineering (SC5) - Chemical Discharge Replacement</v>
      </c>
      <c r="F27" s="142" t="str">
        <f>VLOOKUP(C27,'Project Status'!C:L,10,FALSE)</f>
        <v>TBD</v>
      </c>
      <c r="G27" s="144" t="str">
        <f>VLOOKUP(C27,'Project Status'!C:Q,15,FALSE)</f>
        <v>TBD</v>
      </c>
    </row>
    <row r="28" spans="1:7" x14ac:dyDescent="0.4">
      <c r="A28" s="145">
        <v>23</v>
      </c>
      <c r="B28" t="str">
        <f>VLOOKUP(C28,'Project Status'!C:J,8,FALSE)</f>
        <v>Bidding</v>
      </c>
      <c r="C28" s="77">
        <v>20702</v>
      </c>
      <c r="D28" s="35" t="str">
        <f>VLOOKUP(C28,'Project Status'!C:G,5,FALSE)</f>
        <v>Peabody</v>
      </c>
      <c r="E28" t="str">
        <f>VLOOKUP(C28,'Project Status'!C:I,7,FALSE)</f>
        <v>Wyatt Center - Elevator #2 Modernization</v>
      </c>
      <c r="F28" s="142">
        <f>VLOOKUP(C28,'Project Status'!C:L,10,FALSE)</f>
        <v>175000</v>
      </c>
      <c r="G28" s="144">
        <f>VLOOKUP(C28,'Project Status'!C:Q,15,FALSE)</f>
        <v>175000</v>
      </c>
    </row>
    <row r="29" spans="1:7" s="37" customFormat="1" x14ac:dyDescent="0.4">
      <c r="F29" s="100">
        <f>SUM(F6:F28)</f>
        <v>20613166.5</v>
      </c>
      <c r="G29" s="101">
        <f>SUM(G6:G28)</f>
        <v>9236595</v>
      </c>
    </row>
    <row r="30" spans="1:7" s="37" customFormat="1" x14ac:dyDescent="0.4">
      <c r="F30" s="93"/>
      <c r="G30" s="93"/>
    </row>
    <row r="31" spans="1:7" s="37" customFormat="1" x14ac:dyDescent="0.4">
      <c r="B31" s="87" t="s">
        <v>242</v>
      </c>
      <c r="F31" s="93"/>
      <c r="G31" s="93"/>
    </row>
    <row r="32" spans="1:7" s="37" customFormat="1" x14ac:dyDescent="0.4">
      <c r="B32" s="87"/>
      <c r="F32" s="93"/>
      <c r="G32" s="93"/>
    </row>
    <row r="33" spans="6:7" s="37" customFormat="1" x14ac:dyDescent="0.4">
      <c r="F33" s="93"/>
      <c r="G33" s="93"/>
    </row>
    <row r="34" spans="6:7" s="37" customFormat="1" x14ac:dyDescent="0.4">
      <c r="F34" s="93"/>
      <c r="G34" s="93"/>
    </row>
    <row r="35" spans="6:7" s="37" customFormat="1" x14ac:dyDescent="0.4">
      <c r="F35" s="93"/>
      <c r="G35" s="93"/>
    </row>
    <row r="36" spans="6:7" s="37" customFormat="1" x14ac:dyDescent="0.4">
      <c r="F36" s="93"/>
      <c r="G36" s="93"/>
    </row>
  </sheetData>
  <sortState xmlns:xlrd2="http://schemas.microsoft.com/office/spreadsheetml/2017/richdata2" ref="B6:G28">
    <sortCondition ref="B6:B28"/>
    <sortCondition ref="D6:D28"/>
  </sortState>
  <pageMargins left="0.7" right="0.7" top="0.75" bottom="0.75" header="0.3" footer="0.3"/>
  <pageSetup paperSize="5" orientation="landscape" horizontalDpi="4294967295" verticalDpi="4294967295" r:id="rId1"/>
  <headerFooter>
    <oddFooter>&amp;L(1) - estimated total budget represents the best rough order of magnitude for total project costs.
(2) - estimated FY23 FRP indicates expected funding to be transferred back to the school from FRP program funds collected during FY23.</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3:H13"/>
  <sheetViews>
    <sheetView workbookViewId="0">
      <selection activeCell="H13" sqref="H13"/>
    </sheetView>
  </sheetViews>
  <sheetFormatPr defaultRowHeight="14.6" x14ac:dyDescent="0.4"/>
  <cols>
    <col min="1" max="1" width="8" bestFit="1" customWidth="1"/>
    <col min="2" max="2" width="4.84375" bestFit="1" customWidth="1"/>
    <col min="3" max="3" width="9.84375" bestFit="1" customWidth="1"/>
    <col min="4" max="5" width="37.69140625" bestFit="1" customWidth="1"/>
    <col min="6" max="6" width="7.3828125" bestFit="1" customWidth="1"/>
    <col min="7" max="7" width="8.304687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20698</v>
      </c>
      <c r="B4" s="12">
        <f>VLOOKUP(A4,'Project Status'!C:D,2,FALSE)</f>
        <v>1138</v>
      </c>
      <c r="C4" s="12" t="str">
        <f>VLOOKUP(A4,'Project Status'!C:E,3,FALSE)</f>
        <v>CP_400168</v>
      </c>
      <c r="D4" s="12" t="str">
        <f>VLOOKUP(A4,'Project Status'!C:F,4,FALSE)</f>
        <v>12000 - Arts and Science: Office of the Dean</v>
      </c>
      <c r="E4" s="12" t="str">
        <f>VLOOKUP(A4,'Project Status'!C:I,7,FALSE)</f>
        <v>Wilson Hall - Fire Alarm Replacement</v>
      </c>
      <c r="F4" s="12" t="str">
        <f>VLOOKUP(A4,'Project Status'!C:J,8,FALSE)</f>
        <v>Design</v>
      </c>
      <c r="G4" s="12" t="str">
        <f>VLOOKUP(A4,'Project Status'!C:K,9,FALSE)</f>
        <v>Sean Rewers</v>
      </c>
      <c r="H4" s="121">
        <f>VLOOKUP(A4,'Project Status'!C:M,11,FALSE)</f>
        <v>24950</v>
      </c>
    </row>
    <row r="8" spans="1:8" x14ac:dyDescent="0.4">
      <c r="E8" s="56" t="s">
        <v>128</v>
      </c>
    </row>
    <row r="9" spans="1:8" x14ac:dyDescent="0.4">
      <c r="E9" s="23" t="s">
        <v>232</v>
      </c>
      <c r="F9" s="57" t="s">
        <v>144</v>
      </c>
      <c r="H9" s="58">
        <v>24500</v>
      </c>
    </row>
    <row r="10" spans="1:8" x14ac:dyDescent="0.4">
      <c r="E10" s="23" t="s">
        <v>232</v>
      </c>
      <c r="F10" t="s">
        <v>231</v>
      </c>
      <c r="H10" s="58">
        <v>450</v>
      </c>
    </row>
    <row r="11" spans="1:8" x14ac:dyDescent="0.4">
      <c r="H11" s="60">
        <f>SUM(H9:H10)</f>
        <v>24950</v>
      </c>
    </row>
    <row r="12" spans="1:8" x14ac:dyDescent="0.4">
      <c r="H12" s="58"/>
    </row>
    <row r="13" spans="1:8" x14ac:dyDescent="0.4">
      <c r="F13" s="61" t="s">
        <v>141</v>
      </c>
      <c r="G13" s="61"/>
      <c r="H13" s="62">
        <f>H4-H11</f>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4"/>
  </sheetPr>
  <dimension ref="A3:H13"/>
  <sheetViews>
    <sheetView workbookViewId="0">
      <selection activeCell="H13" sqref="H13"/>
    </sheetView>
  </sheetViews>
  <sheetFormatPr defaultRowHeight="14.6" x14ac:dyDescent="0.4"/>
  <cols>
    <col min="1" max="1" width="8" customWidth="1"/>
    <col min="2" max="2" width="4.3828125" bestFit="1" customWidth="1"/>
    <col min="3" max="3" width="9.84375" bestFit="1" customWidth="1"/>
    <col min="4" max="4" width="37.69140625" bestFit="1" customWidth="1"/>
    <col min="5" max="5" width="75.84375" bestFit="1" customWidth="1"/>
    <col min="6" max="6" width="7.3828125" bestFit="1" customWidth="1"/>
    <col min="7" max="7" width="11.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20700</v>
      </c>
      <c r="B4" s="12">
        <f>VLOOKUP(A4,'Project Status'!C:D,2,FALSE)</f>
        <v>851</v>
      </c>
      <c r="C4" s="12" t="str">
        <f>VLOOKUP(A4,'Project Status'!C:E,3,FALSE)</f>
        <v>CP_400170</v>
      </c>
      <c r="D4" s="12" t="str">
        <f>VLOOKUP(A4,'Project Status'!C:F,4,FALSE)</f>
        <v>12000 - Arts and Science: Office of the Dean</v>
      </c>
      <c r="E4" s="12" t="str">
        <f>VLOOKUP(A4,'Project Status'!C:I,7,FALSE)</f>
        <v>SC Chemistry (SC7) - Steam Generator 1 Removal and Connection to Central Plant Steam</v>
      </c>
      <c r="F4" s="12" t="str">
        <f>VLOOKUP(A4,'Project Status'!C:J,8,FALSE)</f>
        <v>Design</v>
      </c>
      <c r="G4" s="12" t="str">
        <f>VLOOKUP(A4,'Project Status'!C:K,9,FALSE)</f>
        <v>Sean Rewers</v>
      </c>
      <c r="H4" s="121">
        <f>VLOOKUP(A4,'Project Status'!C:M,11,FALSE)</f>
        <v>2500</v>
      </c>
    </row>
    <row r="8" spans="1:8" x14ac:dyDescent="0.4">
      <c r="E8" s="56" t="s">
        <v>128</v>
      </c>
    </row>
    <row r="9" spans="1:8" x14ac:dyDescent="0.4">
      <c r="E9" s="23" t="s">
        <v>281</v>
      </c>
      <c r="F9" s="148" t="s">
        <v>144</v>
      </c>
      <c r="G9" s="146"/>
      <c r="H9" s="149">
        <v>2500</v>
      </c>
    </row>
    <row r="13" spans="1:8" x14ac:dyDescent="0.4">
      <c r="F13" s="61" t="s">
        <v>141</v>
      </c>
      <c r="G13" s="61"/>
      <c r="H13" s="62">
        <f>H9-H4</f>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4"/>
  </sheetPr>
  <dimension ref="A3:H13"/>
  <sheetViews>
    <sheetView workbookViewId="0">
      <selection activeCell="H13" sqref="H13"/>
    </sheetView>
  </sheetViews>
  <sheetFormatPr defaultRowHeight="14.6" x14ac:dyDescent="0.4"/>
  <cols>
    <col min="1" max="1" width="8" bestFit="1" customWidth="1"/>
    <col min="2" max="2" width="4.84375" bestFit="1" customWidth="1"/>
    <col min="3" max="3" width="9.84375" bestFit="1" customWidth="1"/>
    <col min="4" max="4" width="38.15234375" bestFit="1" customWidth="1"/>
    <col min="5" max="5" width="36.15234375" bestFit="1" customWidth="1"/>
    <col min="6" max="6" width="7.3828125" bestFit="1" customWidth="1"/>
    <col min="7" max="7" width="10.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20702</v>
      </c>
      <c r="B4" s="12">
        <f>VLOOKUP(A4,'Project Status'!C:D,2,FALSE)</f>
        <v>8432</v>
      </c>
      <c r="C4" s="12" t="str">
        <f>VLOOKUP(A4,'Project Status'!C:E,3,FALSE)</f>
        <v>CP_400165</v>
      </c>
      <c r="D4" s="12" t="str">
        <f>VLOOKUP(A4,'Project Status'!C:F,4,FALSE)</f>
        <v>21000 - Peabody College: Office of the Dean</v>
      </c>
      <c r="E4" s="12" t="str">
        <f>VLOOKUP(A4,'Project Status'!C:I,7,FALSE)</f>
        <v>Wyatt Center - Elevator #2 Modernization</v>
      </c>
      <c r="F4" s="12" t="str">
        <f>VLOOKUP(A4,'Project Status'!C:J,8,FALSE)</f>
        <v>Bidding</v>
      </c>
      <c r="G4" s="12" t="str">
        <f>VLOOKUP(A4,'Project Status'!C:K,9,FALSE)</f>
        <v>Ben Bedock</v>
      </c>
      <c r="H4" s="121">
        <f>VLOOKUP(A4,'Project Status'!C:M,11,FALSE)</f>
        <v>13550</v>
      </c>
    </row>
    <row r="8" spans="1:8" x14ac:dyDescent="0.4">
      <c r="E8" s="56" t="s">
        <v>128</v>
      </c>
    </row>
    <row r="9" spans="1:8" x14ac:dyDescent="0.4">
      <c r="E9" s="23" t="s">
        <v>232</v>
      </c>
      <c r="F9" s="57" t="s">
        <v>144</v>
      </c>
      <c r="H9" s="58">
        <v>13550</v>
      </c>
    </row>
    <row r="13" spans="1:8" x14ac:dyDescent="0.4">
      <c r="F13" s="61" t="s">
        <v>141</v>
      </c>
      <c r="G13" s="61"/>
      <c r="H13" s="62">
        <f>H9-H4</f>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B2:K21"/>
  <sheetViews>
    <sheetView zoomScaleNormal="100" workbookViewId="0">
      <selection activeCell="C19" sqref="C19"/>
    </sheetView>
  </sheetViews>
  <sheetFormatPr defaultRowHeight="14.6" x14ac:dyDescent="0.4"/>
  <cols>
    <col min="2" max="2" width="23.3046875" bestFit="1" customWidth="1"/>
    <col min="3" max="3" width="14.3046875" style="58" bestFit="1" customWidth="1"/>
    <col min="7" max="7" width="13.53515625" bestFit="1" customWidth="1"/>
  </cols>
  <sheetData>
    <row r="2" spans="2:11" x14ac:dyDescent="0.4">
      <c r="B2" s="63" t="s">
        <v>145</v>
      </c>
    </row>
    <row r="3" spans="2:11" x14ac:dyDescent="0.4">
      <c r="B3" t="s">
        <v>148</v>
      </c>
      <c r="F3" s="63" t="s">
        <v>146</v>
      </c>
    </row>
    <row r="4" spans="2:11" x14ac:dyDescent="0.4">
      <c r="B4" s="64" t="s">
        <v>147</v>
      </c>
      <c r="C4" s="65">
        <f>Contributions!C14</f>
        <v>9364499</v>
      </c>
      <c r="F4" s="23" t="s">
        <v>143</v>
      </c>
      <c r="G4" s="58">
        <f>SUMIF('10085'!$E:$E,'JE Log'!F4,'10085'!$H:$H)+SUMIF('10098'!$E:$E,'JE Log'!F4,'10098'!$H:$H)+SUMIF('10146'!$E:$E,'JE Log'!F4,'10146'!$H:$H)+SUMIF('20179'!$E:$E,'JE Log'!F4,'20179'!$H:$H)+SUMIF('20336'!$E:$E,'JE Log'!F4,'20336'!$H:$H)+SUMIF('20431'!$E:$E,'JE Log'!F4,'20431'!$H:$H)+SUMIF('20497'!$E:$E,'JE Log'!F4,'20497'!$H:$H)+SUMIF('20566'!$E:$E,'JE Log'!F4,'20566'!$H:$H)+SUMIF('20574'!$E:$E,'JE Log'!F4,'20574'!$H:$H)+SUMIF('20577'!$E:$E,'JE Log'!F4,'20577'!$H:$H)+SUMIF('20644'!$E:$E,'JE Log'!F4,'20644'!$H:$H)+SUMIF('20667'!$E:$E,'JE Log'!F4,'20667'!$H:$H)+SUMIF('20668'!$E:$E,'JE Log'!F4,'20668'!$H:$H)+SUMIF('20698'!$E:$E,'JE Log'!F4,'20698'!$H:$H)+SUMIF('20700'!$E:$E,'JE Log'!F4,'20700'!$H:$H)+SUMIF('20702'!$E:$E,'JE Log'!F4,'20702'!$H:$H)</f>
        <v>0</v>
      </c>
    </row>
    <row r="5" spans="2:11" x14ac:dyDescent="0.4">
      <c r="B5" s="70" t="s">
        <v>151</v>
      </c>
      <c r="C5" s="71">
        <f>SUM(C1:C4)</f>
        <v>9364499</v>
      </c>
      <c r="K5" s="23"/>
    </row>
    <row r="8" spans="2:11" x14ac:dyDescent="0.4">
      <c r="B8" t="s">
        <v>149</v>
      </c>
    </row>
    <row r="9" spans="2:11" x14ac:dyDescent="0.4">
      <c r="B9" s="23" t="s">
        <v>139</v>
      </c>
      <c r="C9" s="58">
        <f>SUMIF('10085'!$E:$E,'JE Log'!B9,'10085'!$H:$H)+SUMIF('10098'!$E:$E,'JE Log'!B9,'10098'!$H:$H)+SUMIF('10146'!$E:$E,'JE Log'!B9,'10146'!$H:$H)+SUMIF('20179'!$E:$E,'JE Log'!B9,'20179'!$H:$H)+SUMIF('20336'!$E:$E,'JE Log'!B9,'20336'!$H:$H)+SUMIF('20431'!$E:$E,'JE Log'!B9,'20431'!$H:$H)+SUMIF('20497'!$E:$E,'JE Log'!B9,'20497'!$H:$H)+SUMIF('20566'!$E:$E,'JE Log'!B9,'20566'!$H:$H)+SUMIF('20574'!$E:$E,'JE Log'!B9,'20574'!$H:$H)+SUMIF('20577'!$E:$E,'JE Log'!B9,'20577'!$H:$H)+SUMIF('20644'!$E:$E,'JE Log'!B9,'20644'!$H:$H)+SUMIF('20667'!$E:$E,'JE Log'!B9,'20667'!$H:$H)+SUMIF('20668'!$E:$E,'JE Log'!B9,'20668'!$H:$H)+SUMIF('20698'!$E:$E,'JE Log'!B9,'20698'!$H:$H)+SUMIF('20700'!$E:$E,'JE Log'!B9,'20700'!$H:$H)+SUMIF('20702'!$E:$E,'JE Log'!B9,'20702'!$H:$H)</f>
        <v>2018595.5</v>
      </c>
    </row>
    <row r="10" spans="2:11" x14ac:dyDescent="0.4">
      <c r="B10" s="23" t="s">
        <v>173</v>
      </c>
      <c r="C10" s="58">
        <f>SUMIF('10085'!$E:$E,'JE Log'!B10,'10085'!$H:$H)+SUMIF('10098'!$E:$E,'JE Log'!B10,'10098'!$H:$H)+SUMIF('10146'!$E:$E,'JE Log'!B10,'10146'!$H:$H)+SUMIF('20179'!$E:$E,'JE Log'!B10,'20179'!$H:$H)+SUMIF('20336'!$E:$E,'JE Log'!B10,'20336'!$H:$H)+SUMIF('20431'!$E:$E,'JE Log'!B10,'20431'!$H:$H)+SUMIF('20497'!$E:$E,'JE Log'!B10,'20497'!$H:$H)+SUMIF('20566'!$E:$E,'JE Log'!B10,'20566'!$H:$H)+SUMIF('20574'!$E:$E,'JE Log'!B10,'20574'!$H:$H)+SUMIF('20577'!$E:$E,'JE Log'!B10,'20577'!$H:$H)+SUMIF('20644'!$E:$E,'JE Log'!B10,'20644'!$H:$H)+SUMIF('20667'!$E:$E,'JE Log'!B10,'20667'!$H:$H)+SUMIF('20668'!$E:$E,'JE Log'!B10,'20668'!$H:$H)+SUMIF('20698'!$E:$E,'JE Log'!B10,'20698'!$H:$H)+SUMIF('20700'!$E:$E,'JE Log'!B10,'20700'!$H:$H)+SUMIF('20702'!$E:$E,'JE Log'!B10,'20702'!$H:$H)</f>
        <v>85900</v>
      </c>
    </row>
    <row r="11" spans="2:11" x14ac:dyDescent="0.4">
      <c r="B11" s="23" t="s">
        <v>185</v>
      </c>
      <c r="C11" s="58">
        <f>SUMIF('10085'!$E:$E,'JE Log'!B11,'10085'!$H:$H)+SUMIF('10098'!$E:$E,'JE Log'!B11,'10098'!$H:$H)+SUMIF('10146'!$E:$E,'JE Log'!B11,'10146'!$H:$H)+SUMIF('20179'!$E:$E,'JE Log'!B11,'20179'!$H:$H)+SUMIF('20336'!$E:$E,'JE Log'!B11,'20336'!$H:$H)+SUMIF('20431'!$E:$E,'JE Log'!B11,'20431'!$H:$H)+SUMIF('20497'!$E:$E,'JE Log'!B11,'20497'!$H:$H)+SUMIF('20566'!$E:$E,'JE Log'!B11,'20566'!$H:$H)+SUMIF('20574'!$E:$E,'JE Log'!B11,'20574'!$H:$H)+SUMIF('20577'!$E:$E,'JE Log'!B11,'20577'!$H:$H)+SUMIF('20644'!$E:$E,'JE Log'!B11,'20644'!$H:$H)+SUMIF('20667'!$E:$E,'JE Log'!B11,'20667'!$H:$H)+SUMIF('20668'!$E:$E,'JE Log'!B11,'20668'!$H:$H)+SUMIF('20698'!$E:$E,'JE Log'!B11,'20698'!$H:$H)+SUMIF('20700'!$E:$E,'JE Log'!B11,'20700'!$H:$H)+SUMIF('20702'!$E:$E,'JE Log'!B11,'20702'!$H:$H)</f>
        <v>197362.5</v>
      </c>
    </row>
    <row r="12" spans="2:11" x14ac:dyDescent="0.4">
      <c r="B12" s="23" t="s">
        <v>232</v>
      </c>
      <c r="C12" s="58">
        <f>SUMIF('10085'!$E:$E,'JE Log'!B12,'10085'!$H:$H)+SUMIF('10098'!$E:$E,'JE Log'!B12,'10098'!$H:$H)+SUMIF('10146'!$E:$E,'JE Log'!B12,'10146'!$H:$H)+SUMIF('20179'!$E:$E,'JE Log'!B12,'20179'!$H:$H)+SUMIF('20336'!$E:$E,'JE Log'!B12,'20336'!$H:$H)+SUMIF('20431'!$E:$E,'JE Log'!B12,'20431'!$H:$H)+SUMIF('20497'!$E:$E,'JE Log'!B12,'20497'!$H:$H)+SUMIF('20566'!$E:$E,'JE Log'!B12,'20566'!$H:$H)+SUMIF('20574'!$E:$E,'JE Log'!B12,'20574'!$H:$H)+SUMIF('20577'!$E:$E,'JE Log'!B12,'20577'!$H:$H)+SUMIF('20644'!$E:$E,'JE Log'!B12,'20644'!$H:$H)+SUMIF('20667'!$E:$E,'JE Log'!B12,'20667'!$H:$H)+SUMIF('20668'!$E:$E,'JE Log'!B12,'20668'!$H:$H)+SUMIF('20698'!$E:$E,'JE Log'!B12,'20698'!$H:$H)+SUMIF('20700'!$E:$E,'JE Log'!B12,'20700'!$H:$H)+SUMIF('20702'!$E:$E,'JE Log'!B12,'20702'!$H:$H)</f>
        <v>791392</v>
      </c>
    </row>
    <row r="13" spans="2:11" x14ac:dyDescent="0.4">
      <c r="B13" s="23" t="s">
        <v>281</v>
      </c>
      <c r="C13" s="58">
        <f>SUMIF('10085'!$E:$E,'JE Log'!B13,'10085'!$H:$H)+SUMIF('10098'!$E:$E,'JE Log'!B13,'10098'!$H:$H)+SUMIF('10146'!$E:$E,'JE Log'!B13,'10146'!$H:$H)+SUMIF('20179'!$E:$E,'JE Log'!B13,'20179'!$H:$H)+SUMIF('20336'!$E:$E,'JE Log'!B13,'20336'!$H:$H)+SUMIF('20431'!$E:$E,'JE Log'!B13,'20431'!$H:$H)+SUMIF('20497'!$E:$E,'JE Log'!B13,'20497'!$H:$H)+SUMIF('20566'!$E:$E,'JE Log'!B13,'20566'!$H:$H)+SUMIF('20574'!$E:$E,'JE Log'!B13,'20574'!$H:$H)+SUMIF('20577'!$E:$E,'JE Log'!B13,'20577'!$H:$H)+SUMIF('20644'!$E:$E,'JE Log'!B13,'20644'!$H:$H)+SUMIF('20667'!$E:$E,'JE Log'!B13,'20667'!$H:$H)+SUMIF('20668'!$E:$E,'JE Log'!B13,'20668'!$H:$H)+SUMIF('20698'!$E:$E,'JE Log'!B13,'20698'!$H:$H)+SUMIF('20700'!$E:$E,'JE Log'!B13,'20700'!$H:$H)+SUMIF('20702'!$E:$E,'JE Log'!B13,'20702'!$H:$H)</f>
        <v>776870</v>
      </c>
    </row>
    <row r="16" spans="2:11" x14ac:dyDescent="0.4">
      <c r="B16" s="66"/>
      <c r="C16" s="65"/>
    </row>
    <row r="17" spans="2:3" x14ac:dyDescent="0.4">
      <c r="B17" s="72" t="s">
        <v>150</v>
      </c>
      <c r="C17" s="73">
        <f>SUM(C9:C16)</f>
        <v>3870120</v>
      </c>
    </row>
    <row r="19" spans="2:3" x14ac:dyDescent="0.4">
      <c r="B19" t="s">
        <v>206</v>
      </c>
      <c r="C19" s="58">
        <f>G4</f>
        <v>0</v>
      </c>
    </row>
    <row r="21" spans="2:3" x14ac:dyDescent="0.4">
      <c r="B21" s="68" t="s">
        <v>141</v>
      </c>
      <c r="C21" s="69">
        <f>C4-C17-C19</f>
        <v>5494379</v>
      </c>
    </row>
  </sheetData>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0"/>
  <sheetViews>
    <sheetView workbookViewId="0"/>
  </sheetViews>
  <sheetFormatPr defaultRowHeight="14.6" x14ac:dyDescent="0.4"/>
  <cols>
    <col min="2" max="2" width="38.15234375" bestFit="1" customWidth="1"/>
    <col min="3" max="3" width="17.15234375" bestFit="1" customWidth="1"/>
  </cols>
  <sheetData>
    <row r="1" spans="2:3" x14ac:dyDescent="0.4">
      <c r="B1" t="s">
        <v>130</v>
      </c>
      <c r="C1" t="s">
        <v>207</v>
      </c>
    </row>
    <row r="2" spans="2:3" x14ac:dyDescent="0.4">
      <c r="B2" t="s">
        <v>10</v>
      </c>
      <c r="C2" t="s">
        <v>208</v>
      </c>
    </row>
    <row r="3" spans="2:3" x14ac:dyDescent="0.4">
      <c r="B3" t="s">
        <v>12</v>
      </c>
      <c r="C3" t="s">
        <v>211</v>
      </c>
    </row>
    <row r="4" spans="2:3" x14ac:dyDescent="0.4">
      <c r="B4" t="s">
        <v>14</v>
      </c>
      <c r="C4" t="s">
        <v>212</v>
      </c>
    </row>
    <row r="5" spans="2:3" x14ac:dyDescent="0.4">
      <c r="B5" t="s">
        <v>15</v>
      </c>
      <c r="C5" t="s">
        <v>213</v>
      </c>
    </row>
    <row r="6" spans="2:3" x14ac:dyDescent="0.4">
      <c r="B6" t="s">
        <v>160</v>
      </c>
      <c r="C6" t="s">
        <v>214</v>
      </c>
    </row>
    <row r="7" spans="2:3" x14ac:dyDescent="0.4">
      <c r="B7" t="s">
        <v>21</v>
      </c>
      <c r="C7" t="s">
        <v>216</v>
      </c>
    </row>
    <row r="8" spans="2:3" x14ac:dyDescent="0.4">
      <c r="B8" t="s">
        <v>187</v>
      </c>
      <c r="C8" t="s">
        <v>215</v>
      </c>
    </row>
    <row r="9" spans="2:3" x14ac:dyDescent="0.4">
      <c r="B9" t="s">
        <v>209</v>
      </c>
      <c r="C9" t="s">
        <v>210</v>
      </c>
    </row>
    <row r="10" spans="2:3" x14ac:dyDescent="0.4">
      <c r="B10" t="s">
        <v>28</v>
      </c>
      <c r="C10" t="s">
        <v>217</v>
      </c>
    </row>
  </sheetData>
  <sortState xmlns:xlrd2="http://schemas.microsoft.com/office/spreadsheetml/2017/richdata2" ref="B2:B10">
    <sortCondition ref="B2:B10"/>
  </sortState>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J28"/>
  <sheetViews>
    <sheetView zoomScaleNormal="100" workbookViewId="0">
      <selection activeCell="A27" sqref="A27"/>
    </sheetView>
  </sheetViews>
  <sheetFormatPr defaultRowHeight="14.6" x14ac:dyDescent="0.4"/>
  <cols>
    <col min="1" max="1" width="26.15234375" customWidth="1"/>
    <col min="2" max="7" width="12.53515625" customWidth="1"/>
  </cols>
  <sheetData>
    <row r="1" spans="1:10" s="8" customFormat="1" x14ac:dyDescent="0.4">
      <c r="A1" s="102" t="s">
        <v>203</v>
      </c>
      <c r="B1" s="9"/>
      <c r="D1" s="9"/>
      <c r="E1" s="9"/>
      <c r="F1" s="9"/>
      <c r="G1" s="9"/>
    </row>
    <row r="2" spans="1:10" s="8" customFormat="1" x14ac:dyDescent="0.4">
      <c r="A2" s="21"/>
      <c r="B2" s="47"/>
      <c r="C2" s="9"/>
      <c r="D2" s="9"/>
      <c r="E2" s="9"/>
      <c r="F2" s="9"/>
      <c r="G2" s="9"/>
    </row>
    <row r="4" spans="1:10" s="24" customFormat="1" ht="29.15" x14ac:dyDescent="0.4">
      <c r="A4" s="25" t="s">
        <v>86</v>
      </c>
      <c r="B4" s="25" t="s">
        <v>99</v>
      </c>
      <c r="C4" s="26" t="s">
        <v>88</v>
      </c>
      <c r="D4" s="39" t="s">
        <v>113</v>
      </c>
      <c r="E4" s="38" t="s">
        <v>124</v>
      </c>
      <c r="F4" s="39" t="s">
        <v>125</v>
      </c>
      <c r="G4" s="40" t="s">
        <v>126</v>
      </c>
    </row>
    <row r="5" spans="1:10" x14ac:dyDescent="0.4">
      <c r="A5" s="9" t="s">
        <v>208</v>
      </c>
      <c r="B5" s="22">
        <f>Contributions!B5</f>
        <v>1075461.7320675128</v>
      </c>
      <c r="C5" s="29">
        <f>VLOOKUP(A5,Contributions!$A$4:$C$13,3,FALSE)/1000000</f>
        <v>3.6638259999999998</v>
      </c>
      <c r="D5" s="31">
        <f>SUMIF('Project Status'!G:G,'Shared Building Allocation'!A5,'Project Status'!Q:Q)/1000000</f>
        <v>0.80932000000000004</v>
      </c>
      <c r="E5" s="33">
        <f>D22/1000000</f>
        <v>0.5021406249999999</v>
      </c>
      <c r="F5" s="31">
        <f>D5+E5</f>
        <v>1.311460625</v>
      </c>
      <c r="G5" s="42">
        <f>C5-F5</f>
        <v>2.3523653749999998</v>
      </c>
    </row>
    <row r="6" spans="1:10" x14ac:dyDescent="0.4">
      <c r="A6" s="9" t="s">
        <v>211</v>
      </c>
      <c r="B6" s="22">
        <f>Contributions!B6</f>
        <v>121421.42689276834</v>
      </c>
      <c r="C6" s="29">
        <f>VLOOKUP(A6,Contributions!$A$4:$C$13,3,FALSE)/1000000</f>
        <v>0.41365200000000002</v>
      </c>
      <c r="D6" s="31">
        <f>SUMIF('Project Status'!G:G,'Shared Building Allocation'!A6,'Project Status'!Q:Q)/1000000</f>
        <v>1.3879174999999999</v>
      </c>
      <c r="E6" s="33"/>
      <c r="F6" s="31">
        <f t="shared" ref="F6:F13" si="0">D6+E6</f>
        <v>1.3879174999999999</v>
      </c>
      <c r="G6" s="42">
        <f t="shared" ref="G6:G13" si="1">C6-F6</f>
        <v>-0.9742654999999999</v>
      </c>
    </row>
    <row r="7" spans="1:10" x14ac:dyDescent="0.4">
      <c r="A7" s="9" t="s">
        <v>212</v>
      </c>
      <c r="B7" s="22">
        <f>Contributions!B7</f>
        <v>57814.730923479161</v>
      </c>
      <c r="C7" s="29">
        <f>VLOOKUP(A7,Contributions!$A$4:$C$13,3,FALSE)/1000000</f>
        <v>0.19696</v>
      </c>
      <c r="D7" s="31">
        <f>SUMIF('Project Status'!G:G,'Shared Building Allocation'!A7,'Project Status'!Q:Q)/1000000</f>
        <v>1.46635</v>
      </c>
      <c r="E7" s="33"/>
      <c r="F7" s="31">
        <f t="shared" si="0"/>
        <v>1.46635</v>
      </c>
      <c r="G7" s="42">
        <f t="shared" si="1"/>
        <v>-1.26939</v>
      </c>
    </row>
    <row r="8" spans="1:10" x14ac:dyDescent="0.4">
      <c r="A8" s="9" t="s">
        <v>213</v>
      </c>
      <c r="B8" s="22">
        <f>Contributions!B8</f>
        <v>537962.332719445</v>
      </c>
      <c r="C8" s="29">
        <f>VLOOKUP(A8,Contributions!$A$4:$C$13,3,FALSE)/1000000</f>
        <v>1.8327009999999999</v>
      </c>
      <c r="D8" s="31">
        <f>SUMIF('Project Status'!G:G,'Shared Building Allocation'!A8,'Project Status'!Q:Q)/1000000</f>
        <v>0.33</v>
      </c>
      <c r="E8" s="33"/>
      <c r="F8" s="31">
        <f t="shared" si="0"/>
        <v>0.33</v>
      </c>
      <c r="G8" s="42">
        <f t="shared" si="1"/>
        <v>1.5027009999999998</v>
      </c>
    </row>
    <row r="9" spans="1:10" x14ac:dyDescent="0.4">
      <c r="A9" s="9" t="s">
        <v>214</v>
      </c>
      <c r="B9" s="22">
        <f>Contributions!B9</f>
        <v>120155.48460329951</v>
      </c>
      <c r="C9" s="29">
        <f>VLOOKUP(A9,Contributions!$A$4:$C$13,3,FALSE)/1000000</f>
        <v>0.40933900000000001</v>
      </c>
      <c r="D9" s="31">
        <f>SUMIF('Project Status'!G:G,'Shared Building Allocation'!A9,'Project Status'!Q:Q)/1000000</f>
        <v>0.72269450000000002</v>
      </c>
      <c r="E9" s="33"/>
      <c r="F9" s="31">
        <f t="shared" si="0"/>
        <v>0.72269450000000002</v>
      </c>
      <c r="G9" s="42">
        <f t="shared" si="1"/>
        <v>-0.31335550000000001</v>
      </c>
    </row>
    <row r="10" spans="1:10" x14ac:dyDescent="0.4">
      <c r="A10" s="9" t="s">
        <v>216</v>
      </c>
      <c r="B10" s="22">
        <f>Contributions!B10</f>
        <v>280022.39987629937</v>
      </c>
      <c r="C10" s="29">
        <f>VLOOKUP(A10,Contributions!$A$4:$C$13,3,FALSE)/1000000</f>
        <v>0.95396499999999995</v>
      </c>
      <c r="D10" s="31">
        <f>SUMIF('Project Status'!G:G,'Shared Building Allocation'!A10,'Project Status'!Q:Q)/1000000</f>
        <v>1.4346874999999999</v>
      </c>
      <c r="E10" s="33">
        <f>-D22/1000000</f>
        <v>-0.5021406249999999</v>
      </c>
      <c r="F10" s="31">
        <f t="shared" si="0"/>
        <v>0.932546875</v>
      </c>
      <c r="G10" s="42">
        <f t="shared" si="1"/>
        <v>2.1418124999999955E-2</v>
      </c>
    </row>
    <row r="11" spans="1:10" x14ac:dyDescent="0.4">
      <c r="A11" s="9" t="s">
        <v>215</v>
      </c>
      <c r="B11" s="22">
        <f>Contributions!B11</f>
        <v>106166.70000000001</v>
      </c>
      <c r="C11" s="29">
        <f>VLOOKUP(A11,Contributions!$A$4:$C$13,3,FALSE)/1000000</f>
        <v>0.36168299999999998</v>
      </c>
      <c r="D11" s="31">
        <f>SUMIF('Project Status'!G:G,'Shared Building Allocation'!A11,'Project Status'!Q:Q)/1000000</f>
        <v>6.2100000000000002E-2</v>
      </c>
      <c r="E11" s="33"/>
      <c r="F11" s="31">
        <f t="shared" si="0"/>
        <v>6.2100000000000002E-2</v>
      </c>
      <c r="G11" s="42">
        <f t="shared" si="1"/>
        <v>0.29958299999999999</v>
      </c>
    </row>
    <row r="12" spans="1:10" x14ac:dyDescent="0.4">
      <c r="A12" s="9" t="s">
        <v>210</v>
      </c>
      <c r="B12" s="22">
        <f>Contributions!B12</f>
        <v>59008.361666666671</v>
      </c>
      <c r="C12" s="29">
        <f>VLOOKUP(A12,Contributions!$A$4:$C$13,3,FALSE)/1000000</f>
        <v>0.20102700000000001</v>
      </c>
      <c r="D12" s="31">
        <f>SUMIF('Project Status'!G:G,'Shared Building Allocation'!A12,'Project Status'!Q:Q)/1000000</f>
        <v>0</v>
      </c>
      <c r="E12" s="33"/>
      <c r="F12" s="31">
        <f t="shared" si="0"/>
        <v>0</v>
      </c>
      <c r="G12" s="42">
        <f t="shared" si="1"/>
        <v>0.20102700000000001</v>
      </c>
    </row>
    <row r="13" spans="1:10" x14ac:dyDescent="0.4">
      <c r="A13" s="9" t="s">
        <v>217</v>
      </c>
      <c r="B13" s="22">
        <f>Contributions!B13</f>
        <v>390796.88477064227</v>
      </c>
      <c r="C13" s="29">
        <f>VLOOKUP(A13,Contributions!$A$4:$C$13,3,FALSE)/1000000</f>
        <v>1.3313459999999999</v>
      </c>
      <c r="D13" s="31">
        <f>SUMIF('Project Status'!G:G,'Shared Building Allocation'!A13,'Project Status'!Q:Q)/1000000</f>
        <v>3.0235254999999999</v>
      </c>
      <c r="E13" s="33"/>
      <c r="F13" s="31">
        <f t="shared" si="0"/>
        <v>3.0235254999999999</v>
      </c>
      <c r="G13" s="42">
        <f t="shared" si="1"/>
        <v>-1.6921794999999999</v>
      </c>
    </row>
    <row r="14" spans="1:10" x14ac:dyDescent="0.4">
      <c r="A14" s="27"/>
      <c r="B14" s="27">
        <v>2748810.0535201132</v>
      </c>
      <c r="C14" s="28">
        <f>SUM(C5:C13)</f>
        <v>9.3644990000000004</v>
      </c>
      <c r="D14" s="30">
        <f>SUM(D5:D13)</f>
        <v>9.2365950000000012</v>
      </c>
      <c r="E14" s="32"/>
      <c r="F14" s="30">
        <f>SUM(F5:F13)</f>
        <v>9.2365950000000012</v>
      </c>
      <c r="G14" s="41">
        <f>SUM(G5:G13)</f>
        <v>0.12790399999999957</v>
      </c>
    </row>
    <row r="15" spans="1:10" x14ac:dyDescent="0.4">
      <c r="J15" s="12"/>
    </row>
    <row r="16" spans="1:10" x14ac:dyDescent="0.4">
      <c r="J16" s="12"/>
    </row>
    <row r="17" spans="1:10" x14ac:dyDescent="0.4">
      <c r="J17" s="12"/>
    </row>
    <row r="18" spans="1:10" x14ac:dyDescent="0.4">
      <c r="A18" s="37" t="s">
        <v>120</v>
      </c>
      <c r="J18" s="12"/>
    </row>
    <row r="19" spans="1:10" s="37" customFormat="1" x14ac:dyDescent="0.4">
      <c r="D19" s="43" t="s">
        <v>121</v>
      </c>
      <c r="J19" s="12"/>
    </row>
    <row r="20" spans="1:10" s="37" customFormat="1" x14ac:dyDescent="0.4">
      <c r="C20" s="67" t="s">
        <v>153</v>
      </c>
      <c r="D20" s="44">
        <f>SUMIF('Project Status'!H:H,'Shared Building Allocation'!C20,'Project Status'!L:L)</f>
        <v>1434687.5</v>
      </c>
      <c r="J20" s="12"/>
    </row>
    <row r="21" spans="1:10" s="37" customFormat="1" ht="6.45" customHeight="1" x14ac:dyDescent="0.4">
      <c r="D21" s="44"/>
      <c r="J21" s="12"/>
    </row>
    <row r="22" spans="1:10" s="37" customFormat="1" x14ac:dyDescent="0.4">
      <c r="C22" s="46" t="s">
        <v>122</v>
      </c>
      <c r="D22" s="44">
        <f>D20*0.35</f>
        <v>502140.62499999994</v>
      </c>
      <c r="J22" s="12"/>
    </row>
    <row r="23" spans="1:10" s="37" customFormat="1" x14ac:dyDescent="0.4">
      <c r="C23" s="46" t="s">
        <v>123</v>
      </c>
      <c r="D23" s="44">
        <f>D20*0.65</f>
        <v>932546.875</v>
      </c>
      <c r="J23" s="12"/>
    </row>
    <row r="24" spans="1:10" s="37" customFormat="1" x14ac:dyDescent="0.4">
      <c r="D24" s="45">
        <f>SUM(D22:D23)</f>
        <v>1434687.5</v>
      </c>
      <c r="J24" s="12"/>
    </row>
    <row r="25" spans="1:10" s="37" customFormat="1" x14ac:dyDescent="0.4">
      <c r="J25" s="12"/>
    </row>
    <row r="26" spans="1:10" x14ac:dyDescent="0.4">
      <c r="J26" s="12"/>
    </row>
    <row r="27" spans="1:10" x14ac:dyDescent="0.4">
      <c r="J27" s="12"/>
    </row>
    <row r="28" spans="1:10" x14ac:dyDescent="0.4">
      <c r="J28" s="12"/>
    </row>
  </sheetData>
  <pageMargins left="0.7" right="0.7" top="0.75" bottom="0.75" header="0.3" footer="0.3"/>
  <pageSetup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M24"/>
  <sheetViews>
    <sheetView zoomScaleNormal="100" workbookViewId="0">
      <selection activeCell="A28" sqref="A28"/>
    </sheetView>
  </sheetViews>
  <sheetFormatPr defaultRowHeight="14.6" x14ac:dyDescent="0.4"/>
  <cols>
    <col min="1" max="1" width="21.15234375" bestFit="1" customWidth="1"/>
    <col min="2" max="2" width="12" bestFit="1" customWidth="1"/>
    <col min="3" max="3" width="13.53515625" bestFit="1" customWidth="1"/>
    <col min="6" max="6" width="21.15234375" bestFit="1" customWidth="1"/>
    <col min="7" max="7" width="12" bestFit="1" customWidth="1"/>
    <col min="8" max="8" width="13.53515625" bestFit="1" customWidth="1"/>
  </cols>
  <sheetData>
    <row r="1" spans="1:13" s="8" customFormat="1" x14ac:dyDescent="0.4">
      <c r="A1" s="11" t="s">
        <v>224</v>
      </c>
      <c r="F1" s="11" t="s">
        <v>223</v>
      </c>
    </row>
    <row r="2" spans="1:13" s="8" customFormat="1" x14ac:dyDescent="0.4">
      <c r="A2" s="21"/>
      <c r="B2" s="48"/>
      <c r="F2" s="21"/>
      <c r="G2" s="48"/>
    </row>
    <row r="3" spans="1:13" ht="14.7" customHeight="1" x14ac:dyDescent="0.4">
      <c r="A3" s="8"/>
      <c r="B3" s="9"/>
      <c r="C3" s="13">
        <v>3.41</v>
      </c>
      <c r="F3" s="8"/>
      <c r="G3" s="9"/>
      <c r="H3" s="13">
        <v>3.97</v>
      </c>
      <c r="M3" s="118"/>
    </row>
    <row r="4" spans="1:13" x14ac:dyDescent="0.4">
      <c r="A4" s="14" t="s">
        <v>86</v>
      </c>
      <c r="B4" s="15" t="s">
        <v>99</v>
      </c>
      <c r="C4" s="15" t="s">
        <v>88</v>
      </c>
      <c r="F4" s="14" t="s">
        <v>86</v>
      </c>
      <c r="G4" s="15" t="s">
        <v>99</v>
      </c>
      <c r="H4" s="15" t="s">
        <v>88</v>
      </c>
    </row>
    <row r="5" spans="1:13" x14ac:dyDescent="0.4">
      <c r="A5" s="9" t="s">
        <v>208</v>
      </c>
      <c r="B5" s="16">
        <v>1075461.7320675128</v>
      </c>
      <c r="C5" s="17">
        <v>3663826</v>
      </c>
      <c r="F5" s="9" t="s">
        <v>208</v>
      </c>
      <c r="G5" s="16">
        <v>1059147</v>
      </c>
      <c r="H5" s="17">
        <f>G5*$H$3</f>
        <v>4204813.59</v>
      </c>
    </row>
    <row r="6" spans="1:13" x14ac:dyDescent="0.4">
      <c r="A6" s="9" t="s">
        <v>211</v>
      </c>
      <c r="B6" s="16">
        <v>121421.42689276834</v>
      </c>
      <c r="C6" s="17">
        <v>413652</v>
      </c>
      <c r="F6" s="9" t="s">
        <v>211</v>
      </c>
      <c r="G6" s="16">
        <v>121421</v>
      </c>
      <c r="H6" s="17">
        <f t="shared" ref="H6:H13" si="0">G6*$H$3</f>
        <v>482041.37</v>
      </c>
    </row>
    <row r="7" spans="1:13" x14ac:dyDescent="0.4">
      <c r="A7" s="9" t="s">
        <v>212</v>
      </c>
      <c r="B7" s="16">
        <v>57814.730923479161</v>
      </c>
      <c r="C7" s="17">
        <v>196960</v>
      </c>
      <c r="F7" s="9" t="s">
        <v>212</v>
      </c>
      <c r="G7" s="16">
        <v>58263</v>
      </c>
      <c r="H7" s="17">
        <f t="shared" si="0"/>
        <v>231304.11000000002</v>
      </c>
    </row>
    <row r="8" spans="1:13" x14ac:dyDescent="0.4">
      <c r="A8" s="9" t="s">
        <v>213</v>
      </c>
      <c r="B8" s="16">
        <v>537962.332719445</v>
      </c>
      <c r="C8" s="17">
        <v>1832701</v>
      </c>
      <c r="F8" s="9" t="s">
        <v>213</v>
      </c>
      <c r="G8" s="16">
        <v>552478</v>
      </c>
      <c r="H8" s="17">
        <f t="shared" si="0"/>
        <v>2193337.66</v>
      </c>
    </row>
    <row r="9" spans="1:13" x14ac:dyDescent="0.4">
      <c r="A9" s="9" t="s">
        <v>214</v>
      </c>
      <c r="B9" s="16">
        <v>120155.48460329951</v>
      </c>
      <c r="C9" s="17">
        <v>409339</v>
      </c>
      <c r="F9" s="9" t="s">
        <v>214</v>
      </c>
      <c r="G9" s="16">
        <v>120155</v>
      </c>
      <c r="H9" s="17">
        <f t="shared" si="0"/>
        <v>477015.35000000003</v>
      </c>
    </row>
    <row r="10" spans="1:13" x14ac:dyDescent="0.4">
      <c r="A10" s="9" t="s">
        <v>216</v>
      </c>
      <c r="B10" s="16">
        <v>280022.39987629937</v>
      </c>
      <c r="C10" s="17">
        <v>953965</v>
      </c>
      <c r="F10" s="9" t="s">
        <v>216</v>
      </c>
      <c r="G10" s="16">
        <v>265674</v>
      </c>
      <c r="H10" s="17">
        <f t="shared" si="0"/>
        <v>1054725.78</v>
      </c>
    </row>
    <row r="11" spans="1:13" x14ac:dyDescent="0.4">
      <c r="A11" s="9" t="s">
        <v>215</v>
      </c>
      <c r="B11" s="16">
        <v>106166.70000000001</v>
      </c>
      <c r="C11" s="17">
        <v>361683</v>
      </c>
      <c r="F11" s="9" t="s">
        <v>215</v>
      </c>
      <c r="G11" s="16">
        <v>105746</v>
      </c>
      <c r="H11" s="17">
        <f t="shared" si="0"/>
        <v>419811.62</v>
      </c>
    </row>
    <row r="12" spans="1:13" x14ac:dyDescent="0.4">
      <c r="A12" s="9" t="s">
        <v>210</v>
      </c>
      <c r="B12" s="16">
        <v>59008.361666666671</v>
      </c>
      <c r="C12" s="17">
        <v>201027</v>
      </c>
      <c r="F12" s="9" t="s">
        <v>210</v>
      </c>
      <c r="G12" s="16">
        <v>99140</v>
      </c>
      <c r="H12" s="17">
        <f t="shared" si="0"/>
        <v>393585.80000000005</v>
      </c>
    </row>
    <row r="13" spans="1:13" x14ac:dyDescent="0.4">
      <c r="A13" s="9" t="s">
        <v>217</v>
      </c>
      <c r="B13" s="16">
        <v>390796.88477064227</v>
      </c>
      <c r="C13" s="17">
        <v>1331346</v>
      </c>
      <c r="F13" s="9" t="s">
        <v>217</v>
      </c>
      <c r="G13" s="16">
        <v>396133</v>
      </c>
      <c r="H13" s="17">
        <f t="shared" si="0"/>
        <v>1572648.01</v>
      </c>
    </row>
    <row r="14" spans="1:13" ht="15" thickBot="1" x14ac:dyDescent="0.45">
      <c r="A14" s="8"/>
      <c r="B14" s="18">
        <f>SUM(B5:B13)</f>
        <v>2748810.0535201132</v>
      </c>
      <c r="C14" s="19">
        <f>SUM(C5:C13)</f>
        <v>9364499</v>
      </c>
      <c r="F14" s="8"/>
      <c r="G14" s="18">
        <f>SUM(G5:G13)</f>
        <v>2778157</v>
      </c>
      <c r="H14" s="19">
        <f>SUM(H5:H13)</f>
        <v>11029283.289999999</v>
      </c>
    </row>
    <row r="17" spans="1:8" x14ac:dyDescent="0.4">
      <c r="A17" t="s">
        <v>88</v>
      </c>
      <c r="C17" s="49">
        <f>C14</f>
        <v>9364499</v>
      </c>
      <c r="F17" t="s">
        <v>88</v>
      </c>
      <c r="H17" s="49">
        <f>H14</f>
        <v>11029283.289999999</v>
      </c>
    </row>
    <row r="18" spans="1:8" x14ac:dyDescent="0.4">
      <c r="A18" t="s">
        <v>225</v>
      </c>
      <c r="C18" s="49">
        <f>'Project Status'!Q27</f>
        <v>9236595</v>
      </c>
      <c r="F18" t="s">
        <v>225</v>
      </c>
      <c r="H18" s="49">
        <f>'Project Status'!S27</f>
        <v>0</v>
      </c>
    </row>
    <row r="19" spans="1:8" ht="15" thickBot="1" x14ac:dyDescent="0.45">
      <c r="A19" t="s">
        <v>127</v>
      </c>
      <c r="C19" s="94">
        <f>C17-C18</f>
        <v>127904</v>
      </c>
      <c r="F19" t="s">
        <v>127</v>
      </c>
      <c r="H19" s="94">
        <f>H17-H18</f>
        <v>11029283.289999999</v>
      </c>
    </row>
    <row r="24" spans="1:8" x14ac:dyDescent="0.4">
      <c r="A24" s="20"/>
      <c r="F24" s="2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sheetPr>
  <dimension ref="A1:R36"/>
  <sheetViews>
    <sheetView zoomScale="90" zoomScaleNormal="90" workbookViewId="0">
      <pane xSplit="3" ySplit="3" topLeftCell="I4" activePane="bottomRight" state="frozen"/>
      <selection pane="topRight" activeCell="D1" sqref="D1"/>
      <selection pane="bottomLeft" activeCell="A4" sqref="A4"/>
      <selection pane="bottomRight" activeCell="J1" sqref="J1"/>
    </sheetView>
  </sheetViews>
  <sheetFormatPr defaultColWidth="9.15234375" defaultRowHeight="14.6" outlineLevelCol="1" x14ac:dyDescent="0.4"/>
  <cols>
    <col min="1" max="1" width="3.53515625" style="105" bestFit="1" customWidth="1"/>
    <col min="2" max="2" width="10.69140625" style="105" hidden="1" customWidth="1" outlineLevel="1"/>
    <col min="3" max="3" width="8.53515625" style="105" customWidth="1" collapsed="1"/>
    <col min="4" max="4" width="7.3828125" style="105" hidden="1" customWidth="1" outlineLevel="1"/>
    <col min="5" max="5" width="12.84375" style="105" hidden="1" customWidth="1" outlineLevel="1"/>
    <col min="6" max="6" width="38.15234375" style="105" hidden="1" customWidth="1" outlineLevel="1"/>
    <col min="7" max="7" width="17.15234375" style="105" hidden="1" customWidth="1" outlineLevel="1"/>
    <col min="8" max="8" width="28" style="105" hidden="1" customWidth="1" outlineLevel="1"/>
    <col min="9" max="9" width="75.84375" style="105" bestFit="1" customWidth="1" collapsed="1"/>
    <col min="10" max="10" width="21.3828125" style="105" bestFit="1" customWidth="1"/>
    <col min="11" max="12" width="16.84375" style="105" customWidth="1"/>
    <col min="13" max="16" width="13.53515625" style="105" hidden="1" customWidth="1" outlineLevel="1"/>
    <col min="17" max="17" width="16" style="105" bestFit="1" customWidth="1" collapsed="1"/>
    <col min="18" max="18" width="67" style="105" customWidth="1"/>
    <col min="19" max="16384" width="9.15234375" style="105"/>
  </cols>
  <sheetData>
    <row r="1" spans="1:18" x14ac:dyDescent="0.4">
      <c r="A1" s="103" t="s">
        <v>204</v>
      </c>
    </row>
    <row r="2" spans="1:18" x14ac:dyDescent="0.4">
      <c r="A2" s="106"/>
      <c r="E2" s="107"/>
      <c r="F2" s="108"/>
      <c r="G2" s="108"/>
    </row>
    <row r="3" spans="1:18" s="104" customFormat="1" ht="29.15" x14ac:dyDescent="0.4">
      <c r="A3" s="10"/>
      <c r="B3" s="10" t="s">
        <v>129</v>
      </c>
      <c r="C3" s="10" t="s">
        <v>130</v>
      </c>
      <c r="D3" s="10" t="s">
        <v>131</v>
      </c>
      <c r="E3" s="10" t="s">
        <v>132</v>
      </c>
      <c r="F3" s="109" t="s">
        <v>86</v>
      </c>
      <c r="G3" s="109" t="s">
        <v>218</v>
      </c>
      <c r="H3" s="109" t="s">
        <v>114</v>
      </c>
      <c r="I3" s="109" t="s">
        <v>87</v>
      </c>
      <c r="J3" s="10" t="s">
        <v>133</v>
      </c>
      <c r="K3" s="10" t="s">
        <v>134</v>
      </c>
      <c r="L3" s="110" t="s">
        <v>138</v>
      </c>
      <c r="M3" s="111" t="s">
        <v>135</v>
      </c>
      <c r="N3" s="111" t="s">
        <v>136</v>
      </c>
      <c r="O3" s="111" t="s">
        <v>137</v>
      </c>
      <c r="P3" s="111" t="s">
        <v>253</v>
      </c>
      <c r="Q3" s="112" t="s">
        <v>237</v>
      </c>
      <c r="R3" s="10" t="s">
        <v>193</v>
      </c>
    </row>
    <row r="4" spans="1:18" s="122" customFormat="1" x14ac:dyDescent="0.4">
      <c r="A4" s="136">
        <v>1</v>
      </c>
      <c r="B4" s="123" t="s">
        <v>90</v>
      </c>
      <c r="C4" s="123">
        <v>10085</v>
      </c>
      <c r="D4" s="124">
        <v>4591</v>
      </c>
      <c r="E4" s="123" t="s">
        <v>238</v>
      </c>
      <c r="F4" s="123" t="s">
        <v>28</v>
      </c>
      <c r="G4" s="125" t="str">
        <f>VLOOKUP(F4,lookup!B:C,2,FALSE)</f>
        <v>Peabody</v>
      </c>
      <c r="H4" s="123" t="s">
        <v>116</v>
      </c>
      <c r="I4" s="123" t="s">
        <v>108</v>
      </c>
      <c r="J4" s="123" t="s">
        <v>100</v>
      </c>
      <c r="K4" s="123" t="s">
        <v>163</v>
      </c>
      <c r="L4" s="126">
        <v>145000</v>
      </c>
      <c r="M4" s="127">
        <v>22000</v>
      </c>
      <c r="N4" s="127">
        <v>17500</v>
      </c>
      <c r="O4" s="127">
        <v>17500</v>
      </c>
      <c r="P4" s="127">
        <v>0</v>
      </c>
      <c r="Q4" s="128">
        <f>L4</f>
        <v>145000</v>
      </c>
      <c r="R4" s="123" t="s">
        <v>250</v>
      </c>
    </row>
    <row r="5" spans="1:18" s="122" customFormat="1" x14ac:dyDescent="0.4">
      <c r="A5" s="136">
        <v>2</v>
      </c>
      <c r="B5" s="123" t="s">
        <v>89</v>
      </c>
      <c r="C5" s="123">
        <v>10086</v>
      </c>
      <c r="D5" s="124">
        <v>8557</v>
      </c>
      <c r="E5" s="105" t="s">
        <v>276</v>
      </c>
      <c r="F5" s="123" t="s">
        <v>12</v>
      </c>
      <c r="G5" s="125" t="str">
        <f>VLOOKUP(F5,lookup!B:C,2,FALSE)</f>
        <v>Blair</v>
      </c>
      <c r="H5" s="123" t="s">
        <v>156</v>
      </c>
      <c r="I5" s="123" t="s">
        <v>279</v>
      </c>
      <c r="J5" s="123" t="s">
        <v>109</v>
      </c>
      <c r="K5" s="123" t="s">
        <v>157</v>
      </c>
      <c r="L5" s="126">
        <v>550000</v>
      </c>
      <c r="M5" s="127">
        <v>18700</v>
      </c>
      <c r="N5" s="127">
        <v>17000</v>
      </c>
      <c r="O5" s="127">
        <v>17000</v>
      </c>
      <c r="P5" s="127">
        <v>3400</v>
      </c>
      <c r="Q5" s="128">
        <f>N5</f>
        <v>17000</v>
      </c>
      <c r="R5" s="123" t="s">
        <v>280</v>
      </c>
    </row>
    <row r="6" spans="1:18" s="122" customFormat="1" x14ac:dyDescent="0.4">
      <c r="A6" s="136">
        <v>3</v>
      </c>
      <c r="B6" s="123" t="s">
        <v>89</v>
      </c>
      <c r="C6" s="123">
        <v>10098</v>
      </c>
      <c r="D6" s="123">
        <v>1627</v>
      </c>
      <c r="E6" s="123" t="s">
        <v>110</v>
      </c>
      <c r="F6" s="123" t="s">
        <v>21</v>
      </c>
      <c r="G6" s="125" t="str">
        <f>VLOOKUP(F6,lookup!B:C,2,FALSE)</f>
        <v>SOM Basic Sciences</v>
      </c>
      <c r="H6" s="123" t="s">
        <v>153</v>
      </c>
      <c r="I6" s="123" t="s">
        <v>162</v>
      </c>
      <c r="J6" s="123" t="s">
        <v>101</v>
      </c>
      <c r="K6" s="123" t="s">
        <v>157</v>
      </c>
      <c r="L6" s="126">
        <v>1216485.5</v>
      </c>
      <c r="M6" s="127">
        <v>1216485.5</v>
      </c>
      <c r="N6" s="127">
        <v>1172951</v>
      </c>
      <c r="O6" s="127">
        <v>1172951</v>
      </c>
      <c r="P6" s="127">
        <v>257845</v>
      </c>
      <c r="Q6" s="128">
        <f>L6</f>
        <v>1216485.5</v>
      </c>
      <c r="R6" s="123" t="s">
        <v>251</v>
      </c>
    </row>
    <row r="7" spans="1:18" s="122" customFormat="1" x14ac:dyDescent="0.4">
      <c r="A7" s="136">
        <v>4</v>
      </c>
      <c r="B7" s="123" t="s">
        <v>89</v>
      </c>
      <c r="C7" s="123">
        <v>10146</v>
      </c>
      <c r="D7" s="123">
        <v>4418</v>
      </c>
      <c r="E7" s="123" t="s">
        <v>186</v>
      </c>
      <c r="F7" s="129" t="s">
        <v>187</v>
      </c>
      <c r="G7" s="125" t="str">
        <f>VLOOKUP(F7,lookup!B:C,2,FALSE)</f>
        <v>Nursing</v>
      </c>
      <c r="H7" s="123" t="s">
        <v>181</v>
      </c>
      <c r="I7" s="124" t="s">
        <v>222</v>
      </c>
      <c r="J7" s="124" t="s">
        <v>101</v>
      </c>
      <c r="K7" s="124" t="s">
        <v>163</v>
      </c>
      <c r="L7" s="126" t="s">
        <v>233</v>
      </c>
      <c r="M7" s="127">
        <v>62100</v>
      </c>
      <c r="N7" s="127">
        <v>52900</v>
      </c>
      <c r="O7" s="127">
        <v>62100</v>
      </c>
      <c r="P7" s="127">
        <v>39675</v>
      </c>
      <c r="Q7" s="128">
        <f>M7</f>
        <v>62100</v>
      </c>
      <c r="R7" s="123" t="s">
        <v>252</v>
      </c>
    </row>
    <row r="8" spans="1:18" s="122" customFormat="1" x14ac:dyDescent="0.4">
      <c r="A8" s="136">
        <v>5</v>
      </c>
      <c r="B8" s="123" t="s">
        <v>89</v>
      </c>
      <c r="C8" s="123">
        <v>20179</v>
      </c>
      <c r="D8" s="124">
        <v>36015</v>
      </c>
      <c r="E8" s="123" t="s">
        <v>104</v>
      </c>
      <c r="F8" s="123" t="s">
        <v>160</v>
      </c>
      <c r="G8" s="125" t="str">
        <f>VLOOKUP(F8,lookup!B:C,2,FALSE)</f>
        <v>Law</v>
      </c>
      <c r="H8" s="123" t="s">
        <v>115</v>
      </c>
      <c r="I8" s="124" t="s">
        <v>198</v>
      </c>
      <c r="J8" s="123" t="s">
        <v>101</v>
      </c>
      <c r="K8" s="123" t="s">
        <v>161</v>
      </c>
      <c r="L8" s="126">
        <v>1445389</v>
      </c>
      <c r="M8" s="127">
        <v>1445389</v>
      </c>
      <c r="N8" s="127">
        <v>1348533</v>
      </c>
      <c r="O8" s="127">
        <v>1348533</v>
      </c>
      <c r="P8" s="127">
        <v>1198950</v>
      </c>
      <c r="Q8" s="128">
        <v>722694.5</v>
      </c>
      <c r="R8" s="123" t="s">
        <v>254</v>
      </c>
    </row>
    <row r="9" spans="1:18" s="122" customFormat="1" x14ac:dyDescent="0.4">
      <c r="A9" s="136">
        <v>6</v>
      </c>
      <c r="B9" s="123" t="s">
        <v>89</v>
      </c>
      <c r="C9" s="123">
        <v>20336</v>
      </c>
      <c r="D9" s="123">
        <v>20075</v>
      </c>
      <c r="E9" s="123" t="s">
        <v>102</v>
      </c>
      <c r="F9" s="123" t="s">
        <v>12</v>
      </c>
      <c r="G9" s="125" t="str">
        <f>VLOOKUP(F9,lookup!B:C,2,FALSE)</f>
        <v>Blair</v>
      </c>
      <c r="H9" s="123" t="s">
        <v>156</v>
      </c>
      <c r="I9" s="124" t="s">
        <v>199</v>
      </c>
      <c r="J9" s="123" t="s">
        <v>101</v>
      </c>
      <c r="K9" s="123" t="s">
        <v>155</v>
      </c>
      <c r="L9" s="126">
        <v>327890</v>
      </c>
      <c r="M9" s="127">
        <v>327890</v>
      </c>
      <c r="N9" s="127">
        <v>280600</v>
      </c>
      <c r="O9" s="127">
        <v>280600</v>
      </c>
      <c r="P9" s="127">
        <v>8725</v>
      </c>
      <c r="Q9" s="128">
        <f>L9*0.75</f>
        <v>245917.5</v>
      </c>
      <c r="R9" s="123" t="s">
        <v>255</v>
      </c>
    </row>
    <row r="10" spans="1:18" s="122" customFormat="1" x14ac:dyDescent="0.4">
      <c r="A10" s="136">
        <v>7</v>
      </c>
      <c r="B10" s="123" t="s">
        <v>89</v>
      </c>
      <c r="C10" s="123">
        <v>20431</v>
      </c>
      <c r="D10" s="124">
        <v>8084</v>
      </c>
      <c r="E10" s="123" t="s">
        <v>103</v>
      </c>
      <c r="F10" s="123" t="s">
        <v>14</v>
      </c>
      <c r="G10" s="125" t="str">
        <f>VLOOKUP(F10,lookup!B:C,2,FALSE)</f>
        <v>Divinity</v>
      </c>
      <c r="H10" s="123" t="s">
        <v>158</v>
      </c>
      <c r="I10" s="124" t="s">
        <v>234</v>
      </c>
      <c r="J10" s="123" t="s">
        <v>100</v>
      </c>
      <c r="K10" s="123" t="s">
        <v>157</v>
      </c>
      <c r="L10" s="126">
        <v>4375000</v>
      </c>
      <c r="M10" s="127">
        <v>139640</v>
      </c>
      <c r="N10" s="127">
        <v>112475</v>
      </c>
      <c r="O10" s="127">
        <v>122975</v>
      </c>
      <c r="P10" s="127">
        <v>30138.6</v>
      </c>
      <c r="Q10" s="128">
        <f>L10*0.25</f>
        <v>1093750</v>
      </c>
      <c r="R10" s="123" t="s">
        <v>256</v>
      </c>
    </row>
    <row r="11" spans="1:18" s="122" customFormat="1" x14ac:dyDescent="0.4">
      <c r="A11" s="136">
        <v>8</v>
      </c>
      <c r="B11" s="123" t="s">
        <v>89</v>
      </c>
      <c r="C11" s="123">
        <v>20489</v>
      </c>
      <c r="D11" s="124">
        <v>8051</v>
      </c>
      <c r="E11" s="123"/>
      <c r="F11" s="123" t="s">
        <v>14</v>
      </c>
      <c r="G11" s="125" t="s">
        <v>212</v>
      </c>
      <c r="H11" s="123" t="s">
        <v>158</v>
      </c>
      <c r="I11" s="124" t="s">
        <v>240</v>
      </c>
      <c r="J11" s="123" t="s">
        <v>100</v>
      </c>
      <c r="K11" s="123" t="s">
        <v>157</v>
      </c>
      <c r="L11" s="126">
        <v>3726000</v>
      </c>
      <c r="M11" s="127">
        <v>0</v>
      </c>
      <c r="N11" s="127">
        <v>0</v>
      </c>
      <c r="O11" s="127">
        <v>0</v>
      </c>
      <c r="P11" s="127">
        <v>0</v>
      </c>
      <c r="Q11" s="128">
        <f>L11*0.1</f>
        <v>372600</v>
      </c>
      <c r="R11" s="123" t="s">
        <v>257</v>
      </c>
    </row>
    <row r="12" spans="1:18" s="122" customFormat="1" x14ac:dyDescent="0.4">
      <c r="A12" s="136">
        <v>9</v>
      </c>
      <c r="B12" s="123" t="s">
        <v>89</v>
      </c>
      <c r="C12" s="123">
        <v>20497</v>
      </c>
      <c r="D12" s="124">
        <v>529</v>
      </c>
      <c r="E12" s="123" t="s">
        <v>106</v>
      </c>
      <c r="F12" s="123" t="s">
        <v>28</v>
      </c>
      <c r="G12" s="125" t="str">
        <f>VLOOKUP(F12,lookup!B:C,2,FALSE)</f>
        <v>Peabody</v>
      </c>
      <c r="H12" s="123" t="s">
        <v>159</v>
      </c>
      <c r="I12" s="124" t="s">
        <v>105</v>
      </c>
      <c r="J12" s="123" t="s">
        <v>101</v>
      </c>
      <c r="K12" s="123" t="s">
        <v>155</v>
      </c>
      <c r="L12" s="126">
        <v>456850</v>
      </c>
      <c r="M12" s="127">
        <v>456850</v>
      </c>
      <c r="N12" s="127">
        <v>412000</v>
      </c>
      <c r="O12" s="127">
        <v>412000</v>
      </c>
      <c r="P12" s="127">
        <v>407000</v>
      </c>
      <c r="Q12" s="128">
        <v>79415.5</v>
      </c>
      <c r="R12" s="123" t="s">
        <v>258</v>
      </c>
    </row>
    <row r="13" spans="1:18" s="122" customFormat="1" x14ac:dyDescent="0.4">
      <c r="A13" s="136">
        <v>10</v>
      </c>
      <c r="B13" s="123" t="s">
        <v>89</v>
      </c>
      <c r="C13" s="123">
        <v>20506</v>
      </c>
      <c r="D13" s="124">
        <v>1170</v>
      </c>
      <c r="E13" s="123"/>
      <c r="F13" s="123" t="s">
        <v>28</v>
      </c>
      <c r="G13" s="125" t="str">
        <f>VLOOKUP(F13,lookup!B:C,2,FALSE)</f>
        <v>Peabody</v>
      </c>
      <c r="H13" s="123" t="s">
        <v>167</v>
      </c>
      <c r="I13" s="124" t="s">
        <v>205</v>
      </c>
      <c r="J13" s="123" t="s">
        <v>109</v>
      </c>
      <c r="K13" s="123" t="s">
        <v>155</v>
      </c>
      <c r="L13" s="126">
        <v>1100000</v>
      </c>
      <c r="M13" s="127">
        <v>0</v>
      </c>
      <c r="N13" s="127">
        <v>0</v>
      </c>
      <c r="O13" s="127">
        <v>0</v>
      </c>
      <c r="P13" s="127">
        <v>0</v>
      </c>
      <c r="Q13" s="128">
        <f>L13</f>
        <v>1100000</v>
      </c>
      <c r="R13" s="123" t="s">
        <v>259</v>
      </c>
    </row>
    <row r="14" spans="1:18" s="122" customFormat="1" x14ac:dyDescent="0.4">
      <c r="A14" s="136">
        <v>11</v>
      </c>
      <c r="B14" s="123" t="s">
        <v>89</v>
      </c>
      <c r="C14" s="123">
        <v>20562</v>
      </c>
      <c r="D14" s="123">
        <v>4564</v>
      </c>
      <c r="E14" s="123"/>
      <c r="F14" s="123" t="s">
        <v>28</v>
      </c>
      <c r="G14" s="125" t="str">
        <f>VLOOKUP(F14,lookup!B:C,2,FALSE)</f>
        <v>Peabody</v>
      </c>
      <c r="H14" s="123" t="s">
        <v>167</v>
      </c>
      <c r="I14" s="124" t="s">
        <v>107</v>
      </c>
      <c r="J14" s="123" t="s">
        <v>273</v>
      </c>
      <c r="K14" s="123" t="s">
        <v>163</v>
      </c>
      <c r="L14" s="126">
        <v>285480</v>
      </c>
      <c r="M14" s="127">
        <v>0</v>
      </c>
      <c r="N14" s="127">
        <v>0</v>
      </c>
      <c r="O14" s="127">
        <v>0</v>
      </c>
      <c r="P14" s="127">
        <v>0</v>
      </c>
      <c r="Q14" s="128">
        <f>L14*0.75</f>
        <v>214110</v>
      </c>
      <c r="R14" s="123" t="s">
        <v>260</v>
      </c>
    </row>
    <row r="15" spans="1:18" s="122" customFormat="1" x14ac:dyDescent="0.4">
      <c r="A15" s="136">
        <v>12</v>
      </c>
      <c r="B15" s="123" t="s">
        <v>89</v>
      </c>
      <c r="C15" s="123">
        <v>20566</v>
      </c>
      <c r="D15" s="124">
        <v>20054</v>
      </c>
      <c r="E15" s="123" t="s">
        <v>165</v>
      </c>
      <c r="F15" s="123" t="s">
        <v>10</v>
      </c>
      <c r="G15" s="125" t="str">
        <f>VLOOKUP(F15,lookup!B:C,2,FALSE)</f>
        <v>Arts &amp; Science</v>
      </c>
      <c r="H15" s="123" t="s">
        <v>166</v>
      </c>
      <c r="I15" s="124" t="s">
        <v>194</v>
      </c>
      <c r="J15" s="123" t="s">
        <v>188</v>
      </c>
      <c r="K15" s="123" t="s">
        <v>155</v>
      </c>
      <c r="L15" s="126">
        <v>781870</v>
      </c>
      <c r="M15" s="127">
        <v>781870</v>
      </c>
      <c r="N15" s="127">
        <v>17050</v>
      </c>
      <c r="O15" s="127">
        <v>709050</v>
      </c>
      <c r="P15" s="127">
        <v>8700</v>
      </c>
      <c r="Q15" s="128">
        <v>781870</v>
      </c>
      <c r="R15" s="123" t="s">
        <v>261</v>
      </c>
    </row>
    <row r="16" spans="1:18" s="122" customFormat="1" x14ac:dyDescent="0.4">
      <c r="A16" s="136">
        <v>13</v>
      </c>
      <c r="B16" s="123" t="s">
        <v>89</v>
      </c>
      <c r="C16" s="123">
        <v>20573</v>
      </c>
      <c r="D16" s="123">
        <v>8047</v>
      </c>
      <c r="E16" s="123"/>
      <c r="F16" s="123" t="s">
        <v>28</v>
      </c>
      <c r="G16" s="125" t="str">
        <f>VLOOKUP(F16,lookup!B:C,2,FALSE)</f>
        <v>Peabody</v>
      </c>
      <c r="H16" s="123" t="s">
        <v>167</v>
      </c>
      <c r="I16" s="124" t="s">
        <v>195</v>
      </c>
      <c r="J16" s="123" t="s">
        <v>273</v>
      </c>
      <c r="K16" s="123" t="s">
        <v>155</v>
      </c>
      <c r="L16" s="126">
        <v>750000</v>
      </c>
      <c r="M16" s="127">
        <v>0</v>
      </c>
      <c r="N16" s="127">
        <v>0</v>
      </c>
      <c r="O16" s="127">
        <v>0</v>
      </c>
      <c r="P16" s="127">
        <v>0</v>
      </c>
      <c r="Q16" s="128">
        <f>L16</f>
        <v>750000</v>
      </c>
      <c r="R16" s="123" t="s">
        <v>262</v>
      </c>
    </row>
    <row r="17" spans="1:18" s="122" customFormat="1" x14ac:dyDescent="0.4">
      <c r="A17" s="136">
        <v>14</v>
      </c>
      <c r="B17" s="123" t="s">
        <v>89</v>
      </c>
      <c r="C17" s="123">
        <v>20574</v>
      </c>
      <c r="D17" s="124">
        <v>8145</v>
      </c>
      <c r="E17" s="123" t="s">
        <v>235</v>
      </c>
      <c r="F17" s="123" t="s">
        <v>21</v>
      </c>
      <c r="G17" s="125" t="str">
        <f>VLOOKUP(F17,lookup!B:C,2,FALSE)</f>
        <v>SOM Basic Sciences</v>
      </c>
      <c r="H17" s="123" t="s">
        <v>153</v>
      </c>
      <c r="I17" s="124" t="s">
        <v>196</v>
      </c>
      <c r="J17" s="123" t="s">
        <v>188</v>
      </c>
      <c r="K17" s="123" t="s">
        <v>163</v>
      </c>
      <c r="L17" s="126">
        <v>218202</v>
      </c>
      <c r="M17" s="127">
        <v>218202</v>
      </c>
      <c r="N17" s="127">
        <v>195665</v>
      </c>
      <c r="O17" s="127">
        <v>195665</v>
      </c>
      <c r="P17" s="127">
        <v>0</v>
      </c>
      <c r="Q17" s="128">
        <v>218202</v>
      </c>
      <c r="R17" s="123" t="s">
        <v>263</v>
      </c>
    </row>
    <row r="18" spans="1:18" s="122" customFormat="1" x14ac:dyDescent="0.4">
      <c r="A18" s="136">
        <v>15</v>
      </c>
      <c r="B18" s="123" t="s">
        <v>89</v>
      </c>
      <c r="C18" s="123">
        <v>20577</v>
      </c>
      <c r="D18" s="123">
        <v>8146</v>
      </c>
      <c r="E18" s="123" t="s">
        <v>172</v>
      </c>
      <c r="F18" s="123" t="s">
        <v>12</v>
      </c>
      <c r="G18" s="125" t="str">
        <f>VLOOKUP(F18,lookup!B:C,2,FALSE)</f>
        <v>Blair</v>
      </c>
      <c r="H18" s="123" t="s">
        <v>156</v>
      </c>
      <c r="I18" s="124" t="s">
        <v>197</v>
      </c>
      <c r="J18" s="123" t="s">
        <v>100</v>
      </c>
      <c r="K18" s="123" t="s">
        <v>157</v>
      </c>
      <c r="L18" s="126">
        <v>4500000</v>
      </c>
      <c r="M18" s="127">
        <v>53750</v>
      </c>
      <c r="N18" s="127">
        <v>50283</v>
      </c>
      <c r="O18" s="127">
        <v>50283</v>
      </c>
      <c r="P18" s="127">
        <v>11700</v>
      </c>
      <c r="Q18" s="128">
        <f>L18*0.25</f>
        <v>1125000</v>
      </c>
      <c r="R18" s="123" t="s">
        <v>264</v>
      </c>
    </row>
    <row r="19" spans="1:18" s="122" customFormat="1" x14ac:dyDescent="0.4">
      <c r="A19" s="136">
        <v>16</v>
      </c>
      <c r="B19" s="123" t="s">
        <v>89</v>
      </c>
      <c r="C19" s="123">
        <v>20644</v>
      </c>
      <c r="D19" s="123">
        <v>8241</v>
      </c>
      <c r="E19" s="123" t="s">
        <v>244</v>
      </c>
      <c r="F19" s="123" t="s">
        <v>28</v>
      </c>
      <c r="G19" s="125" t="str">
        <f>VLOOKUP(F19,lookup!B:C,2,FALSE)</f>
        <v>Peabody</v>
      </c>
      <c r="H19" s="123" t="s">
        <v>164</v>
      </c>
      <c r="I19" s="124" t="s">
        <v>245</v>
      </c>
      <c r="J19" s="123" t="s">
        <v>100</v>
      </c>
      <c r="K19" s="123" t="s">
        <v>155</v>
      </c>
      <c r="L19" s="126">
        <v>560000</v>
      </c>
      <c r="M19" s="127">
        <v>2050</v>
      </c>
      <c r="N19" s="127">
        <v>0</v>
      </c>
      <c r="O19" s="127">
        <v>2050</v>
      </c>
      <c r="P19" s="127">
        <v>0</v>
      </c>
      <c r="Q19" s="128">
        <f>L19</f>
        <v>560000</v>
      </c>
      <c r="R19" s="123" t="s">
        <v>265</v>
      </c>
    </row>
    <row r="20" spans="1:18" s="122" customFormat="1" x14ac:dyDescent="0.4">
      <c r="A20" s="136">
        <v>17</v>
      </c>
      <c r="B20" s="123" t="s">
        <v>89</v>
      </c>
      <c r="C20" s="123">
        <v>20645</v>
      </c>
      <c r="D20" s="123">
        <v>8239</v>
      </c>
      <c r="E20" s="123"/>
      <c r="F20" s="123" t="s">
        <v>10</v>
      </c>
      <c r="G20" s="125" t="str">
        <f>VLOOKUP(F20,lookup!B:C,2,FALSE)</f>
        <v>Arts &amp; Science</v>
      </c>
      <c r="H20" s="123" t="s">
        <v>154</v>
      </c>
      <c r="I20" s="124" t="s">
        <v>111</v>
      </c>
      <c r="J20" s="123" t="s">
        <v>100</v>
      </c>
      <c r="K20" s="123" t="s">
        <v>155</v>
      </c>
      <c r="L20" s="126" t="s">
        <v>233</v>
      </c>
      <c r="M20" s="127">
        <v>0</v>
      </c>
      <c r="N20" s="127">
        <v>0</v>
      </c>
      <c r="O20" s="127">
        <v>0</v>
      </c>
      <c r="P20" s="127">
        <v>0</v>
      </c>
      <c r="Q20" s="128" t="s">
        <v>233</v>
      </c>
      <c r="R20" s="123" t="s">
        <v>266</v>
      </c>
    </row>
    <row r="21" spans="1:18" s="122" customFormat="1" x14ac:dyDescent="0.4">
      <c r="A21" s="136">
        <v>18</v>
      </c>
      <c r="B21" s="123" t="s">
        <v>89</v>
      </c>
      <c r="C21" s="123">
        <v>20667</v>
      </c>
      <c r="D21" s="123">
        <v>8168</v>
      </c>
      <c r="E21" s="123" t="s">
        <v>183</v>
      </c>
      <c r="F21" s="123" t="s">
        <v>15</v>
      </c>
      <c r="G21" s="125" t="str">
        <f>VLOOKUP(F21,lookup!B:C,2,FALSE)</f>
        <v>Engineering</v>
      </c>
      <c r="H21" s="123" t="s">
        <v>170</v>
      </c>
      <c r="I21" s="124" t="s">
        <v>171</v>
      </c>
      <c r="J21" s="123" t="s">
        <v>100</v>
      </c>
      <c r="K21" s="123" t="s">
        <v>163</v>
      </c>
      <c r="L21" s="126" t="s">
        <v>233</v>
      </c>
      <c r="M21" s="127">
        <v>135000</v>
      </c>
      <c r="N21" s="127">
        <v>135000</v>
      </c>
      <c r="O21" s="127">
        <v>135000</v>
      </c>
      <c r="P21" s="127">
        <v>0</v>
      </c>
      <c r="Q21" s="128">
        <v>135000</v>
      </c>
      <c r="R21" s="123" t="s">
        <v>267</v>
      </c>
    </row>
    <row r="22" spans="1:18" s="122" customFormat="1" x14ac:dyDescent="0.4">
      <c r="A22" s="136">
        <v>19</v>
      </c>
      <c r="B22" s="123" t="s">
        <v>89</v>
      </c>
      <c r="C22" s="123">
        <v>20668</v>
      </c>
      <c r="D22" s="124">
        <v>8151</v>
      </c>
      <c r="E22" s="123" t="s">
        <v>200</v>
      </c>
      <c r="F22" s="123" t="s">
        <v>15</v>
      </c>
      <c r="G22" s="125" t="str">
        <f>VLOOKUP(F22,lookup!B:C,2,FALSE)</f>
        <v>Engineering</v>
      </c>
      <c r="H22" s="123" t="s">
        <v>168</v>
      </c>
      <c r="I22" s="124" t="s">
        <v>169</v>
      </c>
      <c r="J22" s="123" t="s">
        <v>100</v>
      </c>
      <c r="K22" s="123" t="s">
        <v>163</v>
      </c>
      <c r="L22" s="126" t="s">
        <v>233</v>
      </c>
      <c r="M22" s="127">
        <v>195000</v>
      </c>
      <c r="N22" s="127">
        <v>0</v>
      </c>
      <c r="O22" s="127">
        <v>195000</v>
      </c>
      <c r="P22" s="127">
        <v>0</v>
      </c>
      <c r="Q22" s="128">
        <v>195000</v>
      </c>
      <c r="R22" s="123" t="s">
        <v>268</v>
      </c>
    </row>
    <row r="23" spans="1:18" s="122" customFormat="1" x14ac:dyDescent="0.4">
      <c r="A23" s="136">
        <v>20</v>
      </c>
      <c r="B23" s="123" t="s">
        <v>89</v>
      </c>
      <c r="C23" s="123">
        <v>20698</v>
      </c>
      <c r="D23" s="124">
        <v>1138</v>
      </c>
      <c r="E23" s="123" t="s">
        <v>230</v>
      </c>
      <c r="F23" s="123" t="s">
        <v>10</v>
      </c>
      <c r="G23" s="125" t="str">
        <f>VLOOKUP(F23,lookup!B:C,2,FALSE)</f>
        <v>Arts &amp; Science</v>
      </c>
      <c r="H23" s="123" t="s">
        <v>220</v>
      </c>
      <c r="I23" s="124" t="s">
        <v>236</v>
      </c>
      <c r="J23" s="123" t="s">
        <v>100</v>
      </c>
      <c r="K23" s="123" t="s">
        <v>163</v>
      </c>
      <c r="L23" s="126" t="s">
        <v>233</v>
      </c>
      <c r="M23" s="127">
        <v>24950</v>
      </c>
      <c r="N23" s="127">
        <v>24950</v>
      </c>
      <c r="O23" s="127">
        <v>24950</v>
      </c>
      <c r="P23" s="127">
        <v>0</v>
      </c>
      <c r="Q23" s="128">
        <v>24950</v>
      </c>
      <c r="R23" s="123" t="s">
        <v>269</v>
      </c>
    </row>
    <row r="24" spans="1:18" s="122" customFormat="1" x14ac:dyDescent="0.4">
      <c r="A24" s="136">
        <v>21</v>
      </c>
      <c r="B24" s="123" t="s">
        <v>89</v>
      </c>
      <c r="C24" s="123">
        <v>20700</v>
      </c>
      <c r="D24" s="124">
        <v>851</v>
      </c>
      <c r="E24" s="123" t="s">
        <v>243</v>
      </c>
      <c r="F24" s="123" t="s">
        <v>10</v>
      </c>
      <c r="G24" s="125" t="str">
        <f>VLOOKUP(F24,lookup!B:C,2,FALSE)</f>
        <v>Arts &amp; Science</v>
      </c>
      <c r="H24" s="123" t="s">
        <v>166</v>
      </c>
      <c r="I24" s="124" t="s">
        <v>247</v>
      </c>
      <c r="J24" s="123" t="s">
        <v>100</v>
      </c>
      <c r="K24" s="123" t="s">
        <v>163</v>
      </c>
      <c r="L24" s="126" t="s">
        <v>233</v>
      </c>
      <c r="M24" s="127">
        <v>2500</v>
      </c>
      <c r="N24" s="127">
        <v>2500</v>
      </c>
      <c r="O24" s="127">
        <v>2500</v>
      </c>
      <c r="P24" s="127">
        <v>0</v>
      </c>
      <c r="Q24" s="128">
        <v>2500</v>
      </c>
      <c r="R24" s="123" t="s">
        <v>270</v>
      </c>
    </row>
    <row r="25" spans="1:18" s="122" customFormat="1" x14ac:dyDescent="0.4">
      <c r="A25" s="136">
        <v>22</v>
      </c>
      <c r="B25" s="123" t="s">
        <v>233</v>
      </c>
      <c r="C25" s="123">
        <v>20701</v>
      </c>
      <c r="D25" s="124">
        <v>4399</v>
      </c>
      <c r="E25" s="123"/>
      <c r="F25" s="123" t="s">
        <v>10</v>
      </c>
      <c r="G25" s="125" t="str">
        <f>VLOOKUP(F25,lookup!B:C,2,FALSE)</f>
        <v>Arts &amp; Science</v>
      </c>
      <c r="H25" s="123" t="s">
        <v>221</v>
      </c>
      <c r="I25" s="124" t="s">
        <v>248</v>
      </c>
      <c r="J25" s="123" t="s">
        <v>109</v>
      </c>
      <c r="K25" s="123" t="s">
        <v>163</v>
      </c>
      <c r="L25" s="126" t="s">
        <v>233</v>
      </c>
      <c r="M25" s="127">
        <v>0</v>
      </c>
      <c r="N25" s="127">
        <v>0</v>
      </c>
      <c r="O25" s="127">
        <v>0</v>
      </c>
      <c r="P25" s="127">
        <v>0</v>
      </c>
      <c r="Q25" s="128" t="s">
        <v>233</v>
      </c>
      <c r="R25" s="123" t="s">
        <v>271</v>
      </c>
    </row>
    <row r="26" spans="1:18" s="122" customFormat="1" x14ac:dyDescent="0.4">
      <c r="A26" s="136">
        <v>23</v>
      </c>
      <c r="B26" s="130" t="s">
        <v>89</v>
      </c>
      <c r="C26" s="130">
        <v>20702</v>
      </c>
      <c r="D26" s="131">
        <v>8432</v>
      </c>
      <c r="E26" s="130" t="s">
        <v>226</v>
      </c>
      <c r="F26" s="130" t="s">
        <v>28</v>
      </c>
      <c r="G26" s="132" t="str">
        <f>VLOOKUP(F26,lookup!B:C,2,FALSE)</f>
        <v>Peabody</v>
      </c>
      <c r="H26" s="130" t="s">
        <v>167</v>
      </c>
      <c r="I26" s="131" t="s">
        <v>227</v>
      </c>
      <c r="J26" s="130" t="s">
        <v>273</v>
      </c>
      <c r="K26" s="130" t="s">
        <v>155</v>
      </c>
      <c r="L26" s="133">
        <v>175000</v>
      </c>
      <c r="M26" s="134">
        <v>13550</v>
      </c>
      <c r="N26" s="134">
        <v>13550</v>
      </c>
      <c r="O26" s="134">
        <v>13550</v>
      </c>
      <c r="P26" s="134">
        <v>0</v>
      </c>
      <c r="Q26" s="135">
        <f>L26</f>
        <v>175000</v>
      </c>
      <c r="R26" s="123" t="s">
        <v>272</v>
      </c>
    </row>
    <row r="27" spans="1:18" ht="15" thickBot="1" x14ac:dyDescent="0.45">
      <c r="B27" s="113"/>
      <c r="C27" s="113"/>
      <c r="D27" s="114"/>
      <c r="E27" s="113"/>
      <c r="F27" s="113"/>
      <c r="G27" s="137"/>
      <c r="H27" s="113"/>
      <c r="I27" s="113"/>
      <c r="J27" s="113"/>
      <c r="K27" s="113"/>
      <c r="L27" s="138">
        <f>SUM(L4:L26)</f>
        <v>20613166.5</v>
      </c>
      <c r="M27" s="139">
        <f>SUM(M4:M26)</f>
        <v>5115926.5</v>
      </c>
      <c r="N27" s="139">
        <f t="shared" ref="N27:P27" si="0">SUM(N4:N26)</f>
        <v>3852957</v>
      </c>
      <c r="O27" s="139">
        <f t="shared" si="0"/>
        <v>4761707</v>
      </c>
      <c r="P27" s="139">
        <f t="shared" si="0"/>
        <v>1966133.6</v>
      </c>
      <c r="Q27" s="140">
        <f>SUM(Q4:Q26)</f>
        <v>9236595</v>
      </c>
      <c r="R27" s="113"/>
    </row>
    <row r="29" spans="1:18" x14ac:dyDescent="0.4">
      <c r="I29" s="119" t="s">
        <v>228</v>
      </c>
    </row>
    <row r="30" spans="1:18" x14ac:dyDescent="0.4">
      <c r="I30" s="120" t="s">
        <v>229</v>
      </c>
    </row>
    <row r="31" spans="1:18" x14ac:dyDescent="0.4">
      <c r="A31" s="103"/>
      <c r="I31" s="120" t="s">
        <v>278</v>
      </c>
    </row>
    <row r="32" spans="1:18" x14ac:dyDescent="0.4">
      <c r="I32" s="120" t="s">
        <v>277</v>
      </c>
      <c r="J32" s="141"/>
    </row>
    <row r="34" spans="9:9" x14ac:dyDescent="0.4">
      <c r="I34" s="119" t="s">
        <v>249</v>
      </c>
    </row>
    <row r="35" spans="9:9" x14ac:dyDescent="0.4">
      <c r="I35" s="120"/>
    </row>
    <row r="36" spans="9:9" x14ac:dyDescent="0.4">
      <c r="I36" s="120"/>
    </row>
  </sheetData>
  <sortState xmlns:xlrd2="http://schemas.microsoft.com/office/spreadsheetml/2017/richdata2" ref="A4:R22">
    <sortCondition ref="C4:C22"/>
    <sortCondition ref="J4:J22"/>
    <sortCondition descending="1" ref="L4:L22"/>
  </sortState>
  <phoneticPr fontId="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tint="-0.249977111117893"/>
  </sheetPr>
  <dimension ref="A1:D28"/>
  <sheetViews>
    <sheetView zoomScaleNormal="100" workbookViewId="0">
      <pane ySplit="4" topLeftCell="A5" activePane="bottomLeft" state="frozen"/>
      <selection pane="bottomLeft" activeCell="M1" sqref="M1"/>
    </sheetView>
  </sheetViews>
  <sheetFormatPr defaultRowHeight="14.6" x14ac:dyDescent="0.4"/>
  <cols>
    <col min="1" max="1" width="39.765625" bestFit="1" customWidth="1"/>
    <col min="2" max="2" width="15.69140625" bestFit="1" customWidth="1"/>
    <col min="3" max="3" width="16.23046875" bestFit="1" customWidth="1"/>
    <col min="4" max="4" width="11.69140625" bestFit="1" customWidth="1"/>
  </cols>
  <sheetData>
    <row r="1" spans="1:4" s="8" customFormat="1" x14ac:dyDescent="0.4">
      <c r="A1" s="11" t="s">
        <v>219</v>
      </c>
      <c r="B1" s="9"/>
      <c r="C1" s="9"/>
    </row>
    <row r="2" spans="1:4" s="8" customFormat="1" x14ac:dyDescent="0.4">
      <c r="A2" s="21"/>
      <c r="B2" s="47"/>
      <c r="C2" s="9"/>
    </row>
    <row r="4" spans="1:4" x14ac:dyDescent="0.4">
      <c r="A4" s="34" t="s">
        <v>117</v>
      </c>
      <c r="B4" t="s">
        <v>121</v>
      </c>
      <c r="C4" t="s">
        <v>119</v>
      </c>
      <c r="D4" t="s">
        <v>241</v>
      </c>
    </row>
    <row r="5" spans="1:4" x14ac:dyDescent="0.4">
      <c r="A5" s="35" t="s">
        <v>10</v>
      </c>
      <c r="B5" s="36">
        <v>781870</v>
      </c>
      <c r="C5" s="36">
        <v>809320</v>
      </c>
      <c r="D5" s="36">
        <v>809320</v>
      </c>
    </row>
    <row r="6" spans="1:4" x14ac:dyDescent="0.4">
      <c r="A6" s="23" t="s">
        <v>154</v>
      </c>
      <c r="B6" s="36">
        <v>0</v>
      </c>
      <c r="C6" s="36">
        <v>0</v>
      </c>
      <c r="D6" s="36">
        <v>0</v>
      </c>
    </row>
    <row r="7" spans="1:4" x14ac:dyDescent="0.4">
      <c r="A7" s="23" t="s">
        <v>166</v>
      </c>
      <c r="B7" s="36">
        <v>781870</v>
      </c>
      <c r="C7" s="36">
        <v>784370</v>
      </c>
      <c r="D7" s="36">
        <v>784370</v>
      </c>
    </row>
    <row r="8" spans="1:4" x14ac:dyDescent="0.4">
      <c r="A8" s="23" t="s">
        <v>220</v>
      </c>
      <c r="B8" s="36">
        <v>0</v>
      </c>
      <c r="C8" s="36">
        <v>24950</v>
      </c>
      <c r="D8" s="36">
        <v>24950</v>
      </c>
    </row>
    <row r="9" spans="1:4" x14ac:dyDescent="0.4">
      <c r="A9" s="23" t="s">
        <v>221</v>
      </c>
      <c r="B9" s="36">
        <v>0</v>
      </c>
      <c r="C9" s="36">
        <v>0</v>
      </c>
      <c r="D9" s="36">
        <v>0</v>
      </c>
    </row>
    <row r="10" spans="1:4" x14ac:dyDescent="0.4">
      <c r="A10" s="35" t="s">
        <v>12</v>
      </c>
      <c r="B10" s="36">
        <v>5377890</v>
      </c>
      <c r="C10" s="36">
        <v>400340</v>
      </c>
      <c r="D10" s="36">
        <v>1387917.5</v>
      </c>
    </row>
    <row r="11" spans="1:4" x14ac:dyDescent="0.4">
      <c r="A11" s="23" t="s">
        <v>156</v>
      </c>
      <c r="B11" s="36">
        <v>5377890</v>
      </c>
      <c r="C11" s="36">
        <v>400340</v>
      </c>
      <c r="D11" s="36">
        <v>1387917.5</v>
      </c>
    </row>
    <row r="12" spans="1:4" x14ac:dyDescent="0.4">
      <c r="A12" s="35" t="s">
        <v>14</v>
      </c>
      <c r="B12" s="36">
        <v>8101000</v>
      </c>
      <c r="C12" s="36">
        <v>139640</v>
      </c>
      <c r="D12" s="36">
        <v>1466350</v>
      </c>
    </row>
    <row r="13" spans="1:4" x14ac:dyDescent="0.4">
      <c r="A13" s="23" t="s">
        <v>158</v>
      </c>
      <c r="B13" s="36">
        <v>8101000</v>
      </c>
      <c r="C13" s="36">
        <v>139640</v>
      </c>
      <c r="D13" s="36">
        <v>1466350</v>
      </c>
    </row>
    <row r="14" spans="1:4" x14ac:dyDescent="0.4">
      <c r="A14" s="35" t="s">
        <v>15</v>
      </c>
      <c r="B14" s="36">
        <v>0</v>
      </c>
      <c r="C14" s="36">
        <v>330000</v>
      </c>
      <c r="D14" s="36">
        <v>330000</v>
      </c>
    </row>
    <row r="15" spans="1:4" x14ac:dyDescent="0.4">
      <c r="A15" s="23" t="s">
        <v>170</v>
      </c>
      <c r="B15" s="36">
        <v>0</v>
      </c>
      <c r="C15" s="36">
        <v>135000</v>
      </c>
      <c r="D15" s="36">
        <v>135000</v>
      </c>
    </row>
    <row r="16" spans="1:4" x14ac:dyDescent="0.4">
      <c r="A16" s="23" t="s">
        <v>168</v>
      </c>
      <c r="B16" s="36">
        <v>0</v>
      </c>
      <c r="C16" s="36">
        <v>195000</v>
      </c>
      <c r="D16" s="36">
        <v>195000</v>
      </c>
    </row>
    <row r="17" spans="1:4" x14ac:dyDescent="0.4">
      <c r="A17" s="35" t="s">
        <v>160</v>
      </c>
      <c r="B17" s="36">
        <v>1445389</v>
      </c>
      <c r="C17" s="36">
        <v>1445389</v>
      </c>
      <c r="D17" s="36">
        <v>722694.5</v>
      </c>
    </row>
    <row r="18" spans="1:4" x14ac:dyDescent="0.4">
      <c r="A18" s="23" t="s">
        <v>115</v>
      </c>
      <c r="B18" s="36">
        <v>1445389</v>
      </c>
      <c r="C18" s="36">
        <v>1445389</v>
      </c>
      <c r="D18" s="36">
        <v>722694.5</v>
      </c>
    </row>
    <row r="19" spans="1:4" x14ac:dyDescent="0.4">
      <c r="A19" s="35" t="s">
        <v>21</v>
      </c>
      <c r="B19" s="36">
        <v>1434687.5</v>
      </c>
      <c r="C19" s="36">
        <v>1434687.5</v>
      </c>
      <c r="D19" s="36">
        <v>1434687.5</v>
      </c>
    </row>
    <row r="20" spans="1:4" x14ac:dyDescent="0.4">
      <c r="A20" s="23" t="s">
        <v>153</v>
      </c>
      <c r="B20" s="36">
        <v>1434687.5</v>
      </c>
      <c r="C20" s="36">
        <v>1434687.5</v>
      </c>
      <c r="D20" s="36">
        <v>1434687.5</v>
      </c>
    </row>
    <row r="21" spans="1:4" x14ac:dyDescent="0.4">
      <c r="A21" s="35" t="s">
        <v>28</v>
      </c>
      <c r="B21" s="36">
        <v>3472330</v>
      </c>
      <c r="C21" s="36">
        <v>494450</v>
      </c>
      <c r="D21" s="36">
        <v>3023525.5</v>
      </c>
    </row>
    <row r="22" spans="1:4" x14ac:dyDescent="0.4">
      <c r="A22" s="23" t="s">
        <v>159</v>
      </c>
      <c r="B22" s="36">
        <v>456850</v>
      </c>
      <c r="C22" s="36">
        <v>456850</v>
      </c>
      <c r="D22" s="36">
        <v>79415.5</v>
      </c>
    </row>
    <row r="23" spans="1:4" x14ac:dyDescent="0.4">
      <c r="A23" s="23" t="s">
        <v>116</v>
      </c>
      <c r="B23" s="36">
        <v>145000</v>
      </c>
      <c r="C23" s="36">
        <v>22000</v>
      </c>
      <c r="D23" s="36">
        <v>145000</v>
      </c>
    </row>
    <row r="24" spans="1:4" x14ac:dyDescent="0.4">
      <c r="A24" s="23" t="s">
        <v>164</v>
      </c>
      <c r="B24" s="36">
        <v>560000</v>
      </c>
      <c r="C24" s="36">
        <v>2050</v>
      </c>
      <c r="D24" s="36">
        <v>560000</v>
      </c>
    </row>
    <row r="25" spans="1:4" x14ac:dyDescent="0.4">
      <c r="A25" s="23" t="s">
        <v>167</v>
      </c>
      <c r="B25" s="36">
        <v>2310480</v>
      </c>
      <c r="C25" s="36">
        <v>13550</v>
      </c>
      <c r="D25" s="36">
        <v>2239110</v>
      </c>
    </row>
    <row r="26" spans="1:4" x14ac:dyDescent="0.4">
      <c r="A26" s="35" t="s">
        <v>187</v>
      </c>
      <c r="B26" s="36">
        <v>0</v>
      </c>
      <c r="C26" s="36">
        <v>62100</v>
      </c>
      <c r="D26" s="36">
        <v>62100</v>
      </c>
    </row>
    <row r="27" spans="1:4" x14ac:dyDescent="0.4">
      <c r="A27" s="23" t="s">
        <v>181</v>
      </c>
      <c r="B27" s="36">
        <v>0</v>
      </c>
      <c r="C27" s="36">
        <v>62100</v>
      </c>
      <c r="D27" s="36">
        <v>62100</v>
      </c>
    </row>
    <row r="28" spans="1:4" x14ac:dyDescent="0.4">
      <c r="A28" s="35" t="s">
        <v>118</v>
      </c>
      <c r="B28" s="36">
        <v>20613166.5</v>
      </c>
      <c r="C28" s="36">
        <v>5115926.5</v>
      </c>
      <c r="D28" s="36">
        <v>9236595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4"/>
  </sheetPr>
  <dimension ref="A3:H13"/>
  <sheetViews>
    <sheetView workbookViewId="0">
      <selection activeCell="H13" sqref="H13"/>
    </sheetView>
  </sheetViews>
  <sheetFormatPr defaultRowHeight="14.6" x14ac:dyDescent="0.4"/>
  <cols>
    <col min="1" max="1" width="8" bestFit="1" customWidth="1"/>
    <col min="2" max="2" width="4.84375" bestFit="1" customWidth="1"/>
    <col min="3" max="3" width="6.3046875" bestFit="1" customWidth="1"/>
    <col min="4" max="4" width="38.15234375" bestFit="1" customWidth="1"/>
    <col min="5" max="5" width="54.84375" bestFit="1" customWidth="1"/>
    <col min="6" max="6" width="21.3828125" bestFit="1" customWidth="1"/>
    <col min="7" max="7" width="13.8437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10085</v>
      </c>
      <c r="B4" s="12">
        <f>VLOOKUP(A4,'Project Status'!C:D,2,FALSE)</f>
        <v>4591</v>
      </c>
      <c r="C4" s="12" t="str">
        <f>VLOOKUP(A4,'Project Status'!C:E,3,FALSE)</f>
        <v>N/A</v>
      </c>
      <c r="D4" s="12" t="str">
        <f>VLOOKUP(A4,'Project Status'!C:F,4,FALSE)</f>
        <v>21000 - Peabody College: Office of the Dean</v>
      </c>
      <c r="E4" s="12" t="str">
        <f>VLOOKUP(A4,'Project Status'!C:I,7,FALSE)</f>
        <v>One Magnolia Circle - Modify/Upgrade Electrical and Grounding</v>
      </c>
      <c r="F4" s="12" t="str">
        <f>VLOOKUP(A4,'Project Status'!C:J,8,FALSE)</f>
        <v>Design</v>
      </c>
      <c r="G4" s="12" t="str">
        <f>VLOOKUP(A4,'Project Status'!C:K,9,FALSE)</f>
        <v>Sean Rewers</v>
      </c>
      <c r="H4" s="121">
        <f>VLOOKUP(A4,'Project Status'!C:M,11,FALSE)</f>
        <v>22000</v>
      </c>
    </row>
    <row r="8" spans="1:8" x14ac:dyDescent="0.4">
      <c r="E8" s="56" t="s">
        <v>128</v>
      </c>
    </row>
    <row r="9" spans="1:8" x14ac:dyDescent="0.4">
      <c r="E9" s="23" t="s">
        <v>232</v>
      </c>
      <c r="F9" s="57" t="s">
        <v>152</v>
      </c>
      <c r="H9" s="58">
        <v>22000</v>
      </c>
    </row>
    <row r="13" spans="1:8" x14ac:dyDescent="0.4">
      <c r="F13" s="61" t="s">
        <v>141</v>
      </c>
      <c r="G13" s="61"/>
      <c r="H13" s="62">
        <f>H9-H4</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4"/>
    <pageSetUpPr fitToPage="1"/>
  </sheetPr>
  <dimension ref="A3:H13"/>
  <sheetViews>
    <sheetView zoomScaleNormal="100" workbookViewId="0">
      <selection activeCell="H13" sqref="H13"/>
    </sheetView>
  </sheetViews>
  <sheetFormatPr defaultRowHeight="14.6" x14ac:dyDescent="0.4"/>
  <cols>
    <col min="1" max="1" width="8" bestFit="1" customWidth="1"/>
    <col min="2" max="2" width="4.84375" bestFit="1" customWidth="1"/>
    <col min="3" max="3" width="9.84375" bestFit="1" customWidth="1"/>
    <col min="4" max="4" width="35.84375" bestFit="1" customWidth="1"/>
    <col min="5" max="5" width="42.53515625" bestFit="1" customWidth="1"/>
    <col min="6" max="6" width="11.53515625" bestFit="1" customWidth="1"/>
    <col min="7" max="7" width="10.1523437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10098</v>
      </c>
      <c r="B4" s="12">
        <f>VLOOKUP(A4,'Project Status'!C:D,2,FALSE)</f>
        <v>1627</v>
      </c>
      <c r="C4" s="12" t="str">
        <f>VLOOKUP(A4,'Project Status'!C:E,3,FALSE)</f>
        <v>CP_400023</v>
      </c>
      <c r="D4" s="12" t="str">
        <f>VLOOKUP(A4,'Project Status'!C:F,4,FALSE)</f>
        <v>18200 - Basic Sciences: Office of the Dean</v>
      </c>
      <c r="E4" s="12" t="str">
        <f>VLOOKUP(A4,'Project Status'!C:I,7,FALSE)</f>
        <v>MRB III 4th Floor - Replace Controls (Phase 2 of 5)</v>
      </c>
      <c r="F4" s="12" t="str">
        <f>VLOOKUP(A4,'Project Status'!C:J,8,FALSE)</f>
        <v>Construction</v>
      </c>
      <c r="G4" s="12" t="str">
        <f>VLOOKUP(A4,'Project Status'!C:K,9,FALSE)</f>
        <v>Hans Mooy</v>
      </c>
      <c r="H4" s="55">
        <f>VLOOKUP(A4,'Project Status'!C:M,11,FALSE)</f>
        <v>1216485.5</v>
      </c>
    </row>
    <row r="8" spans="1:8" x14ac:dyDescent="0.4">
      <c r="E8" s="56" t="s">
        <v>128</v>
      </c>
    </row>
    <row r="9" spans="1:8" x14ac:dyDescent="0.4">
      <c r="E9" s="23" t="s">
        <v>139</v>
      </c>
      <c r="F9" s="57">
        <v>44769</v>
      </c>
      <c r="H9" s="58">
        <v>1216485.5</v>
      </c>
    </row>
    <row r="13" spans="1:8" x14ac:dyDescent="0.4">
      <c r="F13" s="61" t="s">
        <v>141</v>
      </c>
      <c r="G13" s="61"/>
      <c r="H13" s="62">
        <f>H9-H4</f>
        <v>0</v>
      </c>
    </row>
  </sheetData>
  <pageMargins left="0.7" right="0.7" top="0.75" bottom="0.75" header="0.3" footer="0.3"/>
  <pageSetup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3:H13"/>
  <sheetViews>
    <sheetView workbookViewId="0">
      <selection activeCell="H13" sqref="H13"/>
    </sheetView>
  </sheetViews>
  <sheetFormatPr defaultRowHeight="14.6" x14ac:dyDescent="0.4"/>
  <cols>
    <col min="1" max="1" width="8" bestFit="1" customWidth="1"/>
    <col min="2" max="2" width="4.84375" bestFit="1" customWidth="1"/>
    <col min="3" max="3" width="9.84375" bestFit="1" customWidth="1"/>
    <col min="4" max="4" width="28.3828125" bestFit="1" customWidth="1"/>
    <col min="5" max="5" width="30" bestFit="1" customWidth="1"/>
    <col min="6" max="7" width="11.53515625" bestFit="1" customWidth="1"/>
    <col min="8" max="8" width="15.53515625" bestFit="1" customWidth="1"/>
  </cols>
  <sheetData>
    <row r="3" spans="1:8" s="54" customFormat="1" x14ac:dyDescent="0.4">
      <c r="A3" s="51" t="s">
        <v>130</v>
      </c>
      <c r="B3" s="50" t="s">
        <v>131</v>
      </c>
      <c r="C3" s="51" t="s">
        <v>132</v>
      </c>
      <c r="D3" s="52" t="s">
        <v>86</v>
      </c>
      <c r="E3" s="52" t="s">
        <v>87</v>
      </c>
      <c r="F3" s="51" t="s">
        <v>133</v>
      </c>
      <c r="G3" s="51" t="s">
        <v>134</v>
      </c>
      <c r="H3" s="53" t="s">
        <v>135</v>
      </c>
    </row>
    <row r="4" spans="1:8" x14ac:dyDescent="0.4">
      <c r="A4" s="12">
        <v>10146</v>
      </c>
      <c r="B4" s="12">
        <f>VLOOKUP(A4,'Project Status'!C:D,2,FALSE)</f>
        <v>4418</v>
      </c>
      <c r="C4" s="12" t="str">
        <f>VLOOKUP(A4,'Project Status'!C:E,3,FALSE)</f>
        <v>CP_400025</v>
      </c>
      <c r="D4" s="12" t="str">
        <f>VLOOKUP(A4,'Project Status'!C:F,4,FALSE)</f>
        <v>19100 - Nursing: Business Affairs</v>
      </c>
      <c r="E4" s="12" t="str">
        <f>VLOOKUP(A4,'Project Status'!C:I,7,FALSE)</f>
        <v>Godchaux Hall - HVAC Engineering</v>
      </c>
      <c r="F4" s="12" t="str">
        <f>VLOOKUP(A4,'Project Status'!C:J,8,FALSE)</f>
        <v>Construction</v>
      </c>
      <c r="G4" s="12" t="str">
        <f>VLOOKUP(A4,'Project Status'!C:K,9,FALSE)</f>
        <v>Sean Rewers</v>
      </c>
      <c r="H4" s="121">
        <f>VLOOKUP(A4,'Project Status'!C:M,11,FALSE)</f>
        <v>62100</v>
      </c>
    </row>
    <row r="8" spans="1:8" x14ac:dyDescent="0.4">
      <c r="E8" s="56" t="s">
        <v>128</v>
      </c>
    </row>
    <row r="9" spans="1:8" x14ac:dyDescent="0.4">
      <c r="E9" s="23" t="s">
        <v>232</v>
      </c>
      <c r="F9" s="57" t="s">
        <v>152</v>
      </c>
      <c r="H9" s="58">
        <v>4900</v>
      </c>
    </row>
    <row r="10" spans="1:8" x14ac:dyDescent="0.4">
      <c r="E10" s="46" t="s">
        <v>239</v>
      </c>
      <c r="F10" s="37"/>
      <c r="G10" s="37"/>
      <c r="H10" s="99">
        <v>57200</v>
      </c>
    </row>
    <row r="11" spans="1:8" x14ac:dyDescent="0.4">
      <c r="H11" s="60">
        <f>SUM(H9:H10)</f>
        <v>62100</v>
      </c>
    </row>
    <row r="13" spans="1:8" x14ac:dyDescent="0.4">
      <c r="F13" s="61" t="s">
        <v>141</v>
      </c>
      <c r="G13" s="61"/>
      <c r="H13" s="62">
        <f>H4-H11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vt:i4>
      </vt:variant>
    </vt:vector>
  </HeadingPairs>
  <TitlesOfParts>
    <vt:vector size="28" baseType="lpstr">
      <vt:lpstr>Summary_for Web-1</vt:lpstr>
      <vt:lpstr>Summary_for Web-2</vt:lpstr>
      <vt:lpstr>Shared Building Allocation</vt:lpstr>
      <vt:lpstr>Contributions</vt:lpstr>
      <vt:lpstr>Project Status</vt:lpstr>
      <vt:lpstr>Summary_by School</vt:lpstr>
      <vt:lpstr>10085</vt:lpstr>
      <vt:lpstr>10098</vt:lpstr>
      <vt:lpstr>10146</vt:lpstr>
      <vt:lpstr>20179</vt:lpstr>
      <vt:lpstr>20336</vt:lpstr>
      <vt:lpstr>20431</vt:lpstr>
      <vt:lpstr>20497</vt:lpstr>
      <vt:lpstr>20566</vt:lpstr>
      <vt:lpstr>20574</vt:lpstr>
      <vt:lpstr>20577</vt:lpstr>
      <vt:lpstr>20644</vt:lpstr>
      <vt:lpstr>20667</vt:lpstr>
      <vt:lpstr>20668</vt:lpstr>
      <vt:lpstr>20698</vt:lpstr>
      <vt:lpstr>20700</vt:lpstr>
      <vt:lpstr>20702</vt:lpstr>
      <vt:lpstr>JE Log</vt:lpstr>
      <vt:lpstr>lookup</vt:lpstr>
      <vt:lpstr>PUC GSF</vt:lpstr>
      <vt:lpstr>Notes</vt:lpstr>
      <vt:lpstr>JE</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2022-11-04T15:52:34Z</cp:lastPrinted>
  <dcterms:created xsi:type="dcterms:W3CDTF">2021-08-31T18:33:23Z</dcterms:created>
  <dcterms:modified xsi:type="dcterms:W3CDTF">2022-12-07T15:21:14Z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