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Z:\Website\LEAF website files\"/>
    </mc:Choice>
  </mc:AlternateContent>
  <xr:revisionPtr revIDLastSave="0" documentId="8_{8E88537B-D1D9-4B56-B2B5-F41BBAF57BC0}" xr6:coauthVersionLast="47" xr6:coauthVersionMax="47" xr10:uidLastSave="{00000000-0000-0000-0000-000000000000}"/>
  <bookViews>
    <workbookView xWindow="45" yWindow="-16320" windowWidth="29040" windowHeight="15840" tabRatio="762" xr2:uid="{00000000-000D-0000-FFFF-FFFF00000000}"/>
  </bookViews>
  <sheets>
    <sheet name="Title Sheet" sheetId="6" r:id="rId1"/>
    <sheet name="Material Classification" sheetId="22" state="hidden" r:id="rId2"/>
    <sheet name="Moisture Content" sheetId="8" r:id="rId3"/>
    <sheet name="Eluate Collection" sheetId="1" r:id="rId4"/>
    <sheet name="Analytical Data" sheetId="9" r:id="rId5"/>
    <sheet name="Composite Samples" sheetId="17" r:id="rId6"/>
    <sheet name="Lists" sheetId="23" state="hidden" r:id="rId7"/>
  </sheets>
  <definedNames>
    <definedName name="Acid_Type">Lists!$F$7:$F$8</definedName>
    <definedName name="Air">Lists!$B$26:$B$27</definedName>
    <definedName name="Analysis_Methods">Lists!$F$118:$F$150</definedName>
    <definedName name="Base_Type">Lists!$F$12:$F$14</definedName>
    <definedName name="Batch_Test">Lists!$F$53:$F$67</definedName>
    <definedName name="CCR_Category">Lists!$J$7:$J$18</definedName>
    <definedName name="Cement_Concrete">Lists!$B$30:$B$35</definedName>
    <definedName name="Coal_Combustion">Lists!$B$38:$B$49</definedName>
    <definedName name="Coal_Region">Lists!$R$19:$R$24</definedName>
    <definedName name="Coal_Type">Lists!$R$7:$R$15</definedName>
    <definedName name="Composite_Scheme">Lists!$F$26:$F$28</definedName>
    <definedName name="Construction">Lists!$B$52:$B$62</definedName>
    <definedName name="Eluant_Comp">Lists!$F$20:$F$22</definedName>
    <definedName name="EPA_Citation">Lists!$J$34:$J$37</definedName>
    <definedName name="Extract_Comp">Lists!$F$71:$F$89</definedName>
    <definedName name="Facility">Lists!$R$28:$R$59</definedName>
    <definedName name="FGD_Additive">Lists!$N$35:$N$41</definedName>
    <definedName name="FlyAsh_Class">Lists!$J$22:$J$24</definedName>
    <definedName name="Fuel">Lists!$B$65:$B$69</definedName>
    <definedName name="Handling">Lists!$J$28:$J$30</definedName>
    <definedName name="Hg_Sorbent">Lists!$N$7:$N$10</definedName>
    <definedName name="Industrial_Waste">Lists!$B$72:$B$83</definedName>
    <definedName name="Landfill">Lists!$B$86:$B$93</definedName>
    <definedName name="Material_Class">Lists!$B$7:$B$21</definedName>
    <definedName name="Mineral_Processing">Lists!$B$101:$B$103</definedName>
    <definedName name="Mining">Lists!$B$96:$B$98</definedName>
    <definedName name="Municipal_Waste">Lists!$B$106:$B$111</definedName>
    <definedName name="NOX_Control">Lists!$N$14:$N$22</definedName>
    <definedName name="Nuclear_Waste_Management">Lists!$B$114:$B$117</definedName>
    <definedName name="Particulate_Capture">Lists!$N$56:$N$60</definedName>
    <definedName name="Reporting_Type">Lists!$B$145:$B$148</definedName>
    <definedName name="Sample_Faces">Lists!$F$44:$F$47</definedName>
    <definedName name="Sample_Geometry">Lists!$F$39:$F$40</definedName>
    <definedName name="Sample_Type">Lists!$F$34:$F$35</definedName>
    <definedName name="Scrubber_Type">Lists!$N$26:$N$31</definedName>
    <definedName name="SO3_Control">Lists!$N$45:$N$52</definedName>
    <definedName name="Soil_Amendment">Lists!$B$129:$B$133</definedName>
    <definedName name="Soil_Sediment">Lists!$B$120:$B$126</definedName>
    <definedName name="Total_Method">Lists!$F$95:$F$112</definedName>
    <definedName name="User_Class">Lists!$B$136:$B$140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64" i="1" l="1"/>
  <c r="BF4" i="9" l="1"/>
  <c r="BE4" i="9"/>
  <c r="BD4" i="9"/>
  <c r="BC4" i="9"/>
  <c r="BB4" i="9"/>
  <c r="BA4" i="9"/>
  <c r="AZ4" i="9"/>
  <c r="AY4" i="9"/>
  <c r="AX4" i="9"/>
  <c r="AW4" i="9"/>
  <c r="AV4" i="9"/>
  <c r="AU4" i="9"/>
  <c r="AT4" i="9"/>
  <c r="AS4" i="9"/>
  <c r="AR4" i="9"/>
  <c r="AQ4" i="9"/>
  <c r="AP4" i="9"/>
  <c r="AO4" i="9"/>
  <c r="AN4" i="9"/>
  <c r="AM4" i="9"/>
  <c r="AL4" i="9"/>
  <c r="AK4" i="9"/>
  <c r="AJ4" i="9"/>
  <c r="AI4" i="9"/>
  <c r="AH4" i="9"/>
  <c r="AG4" i="9"/>
  <c r="AF4" i="9"/>
  <c r="AE4" i="9"/>
  <c r="AD4" i="9"/>
  <c r="AC4" i="9"/>
  <c r="AB4" i="9"/>
  <c r="AA4" i="9"/>
  <c r="Z4" i="9"/>
  <c r="Y4" i="9"/>
  <c r="X4" i="9"/>
  <c r="W4" i="9"/>
  <c r="V4" i="9"/>
  <c r="U4" i="9"/>
  <c r="T4" i="9"/>
  <c r="S4" i="9"/>
  <c r="R4" i="9"/>
  <c r="Q4" i="9"/>
  <c r="P4" i="9"/>
  <c r="O4" i="9"/>
  <c r="V10" i="1" l="1"/>
  <c r="S16" i="17" l="1"/>
  <c r="S17" i="17"/>
  <c r="S15" i="17"/>
  <c r="S13" i="17"/>
  <c r="S12" i="17"/>
  <c r="S11" i="17"/>
  <c r="S14" i="17"/>
  <c r="S18" i="17"/>
  <c r="I8" i="9" l="1"/>
  <c r="H8" i="9"/>
  <c r="I6" i="9"/>
  <c r="H6" i="9"/>
  <c r="I5" i="9"/>
  <c r="H5" i="9"/>
  <c r="G5" i="9"/>
  <c r="AK15" i="8"/>
  <c r="AK16" i="8" s="1"/>
  <c r="AJ15" i="8"/>
  <c r="AJ16" i="8" s="1"/>
  <c r="AI15" i="8"/>
  <c r="AF7" i="8"/>
  <c r="AF6" i="8"/>
  <c r="BF11" i="9"/>
  <c r="BE11" i="9"/>
  <c r="BD11" i="9"/>
  <c r="BC11" i="9"/>
  <c r="BB11" i="9"/>
  <c r="BA11" i="9"/>
  <c r="AZ11" i="9"/>
  <c r="AY11" i="9"/>
  <c r="AX11" i="9"/>
  <c r="AW11" i="9"/>
  <c r="AV11" i="9"/>
  <c r="AU11" i="9"/>
  <c r="AT11" i="9"/>
  <c r="AS11" i="9"/>
  <c r="AR11" i="9"/>
  <c r="AQ11" i="9"/>
  <c r="AP11" i="9"/>
  <c r="AO11" i="9"/>
  <c r="AN11" i="9"/>
  <c r="AM11" i="9"/>
  <c r="AK11" i="9"/>
  <c r="AJ11" i="9"/>
  <c r="AI11" i="9"/>
  <c r="AH11" i="9"/>
  <c r="AG11" i="9"/>
  <c r="AF11" i="9"/>
  <c r="AE11" i="9"/>
  <c r="AD11" i="9"/>
  <c r="AC11" i="9"/>
  <c r="AB11" i="9"/>
  <c r="AA11" i="9"/>
  <c r="Z11" i="9"/>
  <c r="Y11" i="9"/>
  <c r="X11" i="9"/>
  <c r="W11" i="9"/>
  <c r="V11" i="9"/>
  <c r="U11" i="9"/>
  <c r="T11" i="9"/>
  <c r="S11" i="9"/>
  <c r="R11" i="9"/>
  <c r="Q11" i="9"/>
  <c r="P11" i="9"/>
  <c r="O11" i="9"/>
  <c r="AN15" i="8" l="1"/>
  <c r="I7" i="9"/>
  <c r="H7" i="9"/>
  <c r="AI16" i="8"/>
  <c r="AN16" i="8" s="1"/>
  <c r="G8" i="9" l="1"/>
  <c r="V47" i="8"/>
  <c r="V48" i="8" s="1"/>
  <c r="U47" i="8"/>
  <c r="U48" i="8" s="1"/>
  <c r="T47" i="8"/>
  <c r="T48" i="8" s="1"/>
  <c r="Q39" i="8"/>
  <c r="Q38" i="8"/>
  <c r="V31" i="8"/>
  <c r="V32" i="8" s="1"/>
  <c r="U31" i="8"/>
  <c r="U32" i="8" s="1"/>
  <c r="T31" i="8"/>
  <c r="T32" i="8" s="1"/>
  <c r="Q23" i="8"/>
  <c r="Q22" i="8"/>
  <c r="N42" i="9"/>
  <c r="M42" i="9"/>
  <c r="L42" i="9"/>
  <c r="N41" i="9"/>
  <c r="M41" i="9"/>
  <c r="L41" i="9"/>
  <c r="N40" i="9"/>
  <c r="M40" i="9"/>
  <c r="L40" i="9"/>
  <c r="N39" i="9"/>
  <c r="M39" i="9"/>
  <c r="L39" i="9"/>
  <c r="N38" i="9"/>
  <c r="M38" i="9"/>
  <c r="L38" i="9"/>
  <c r="N37" i="9"/>
  <c r="M37" i="9"/>
  <c r="L37" i="9"/>
  <c r="N36" i="9"/>
  <c r="M36" i="9"/>
  <c r="L36" i="9"/>
  <c r="N35" i="9"/>
  <c r="M35" i="9"/>
  <c r="L35" i="9"/>
  <c r="L34" i="9"/>
  <c r="M34" i="9"/>
  <c r="N34" i="9"/>
  <c r="N33" i="9"/>
  <c r="M33" i="9"/>
  <c r="L33" i="9"/>
  <c r="N32" i="9"/>
  <c r="M32" i="9"/>
  <c r="L32" i="9"/>
  <c r="N31" i="9"/>
  <c r="M31" i="9"/>
  <c r="L31" i="9"/>
  <c r="N30" i="9"/>
  <c r="M30" i="9"/>
  <c r="L30" i="9"/>
  <c r="N29" i="9"/>
  <c r="M29" i="9"/>
  <c r="L29" i="9"/>
  <c r="N28" i="9"/>
  <c r="M28" i="9"/>
  <c r="L28" i="9"/>
  <c r="N27" i="9"/>
  <c r="M27" i="9"/>
  <c r="L27" i="9"/>
  <c r="N26" i="9"/>
  <c r="M26" i="9"/>
  <c r="L26" i="9"/>
  <c r="N25" i="9"/>
  <c r="M25" i="9"/>
  <c r="L25" i="9"/>
  <c r="N24" i="9"/>
  <c r="M24" i="9"/>
  <c r="L24" i="9"/>
  <c r="N23" i="9"/>
  <c r="M23" i="9"/>
  <c r="L23" i="9"/>
  <c r="N22" i="9"/>
  <c r="M22" i="9"/>
  <c r="L22" i="9"/>
  <c r="N21" i="9"/>
  <c r="M21" i="9"/>
  <c r="L21" i="9"/>
  <c r="N20" i="9"/>
  <c r="M20" i="9"/>
  <c r="L20" i="9"/>
  <c r="N19" i="9"/>
  <c r="M19" i="9"/>
  <c r="L19" i="9"/>
  <c r="N18" i="9"/>
  <c r="M18" i="9"/>
  <c r="L18" i="9"/>
  <c r="N17" i="9"/>
  <c r="M17" i="9"/>
  <c r="L17" i="9"/>
  <c r="N16" i="9"/>
  <c r="M16" i="9"/>
  <c r="L16" i="9"/>
  <c r="Y48" i="8" l="1"/>
  <c r="Y47" i="8"/>
  <c r="Y32" i="8"/>
  <c r="Y31" i="8"/>
  <c r="G6" i="9"/>
  <c r="H34" i="9"/>
  <c r="H25" i="9"/>
  <c r="H16" i="9"/>
  <c r="R97" i="1"/>
  <c r="R96" i="1"/>
  <c r="R52" i="1"/>
  <c r="R51" i="1"/>
  <c r="R7" i="1"/>
  <c r="R6" i="1"/>
  <c r="Q7" i="8"/>
  <c r="Q6" i="8"/>
  <c r="C12" i="22"/>
  <c r="C11" i="22"/>
  <c r="C7" i="22"/>
  <c r="C6" i="22"/>
  <c r="C5" i="22"/>
  <c r="G47" i="22"/>
  <c r="G45" i="22"/>
  <c r="G43" i="22"/>
  <c r="G41" i="22"/>
  <c r="G39" i="22"/>
  <c r="G37" i="22"/>
  <c r="G27" i="22"/>
  <c r="G25" i="22"/>
  <c r="F19" i="22"/>
  <c r="G16" i="22"/>
  <c r="D5" i="9"/>
  <c r="G7" i="9" l="1"/>
  <c r="D6" i="9" l="1"/>
  <c r="X10" i="17"/>
  <c r="Z10" i="17" s="1"/>
  <c r="X11" i="17"/>
  <c r="Z11" i="17" s="1"/>
  <c r="X12" i="17"/>
  <c r="Z12" i="17" s="1"/>
  <c r="X13" i="17"/>
  <c r="Z13" i="17" s="1"/>
  <c r="X14" i="17"/>
  <c r="Z14" i="17" s="1"/>
  <c r="X15" i="17"/>
  <c r="Z15" i="17" s="1"/>
  <c r="X16" i="17"/>
  <c r="Z16" i="17" s="1"/>
  <c r="X17" i="17"/>
  <c r="Z17" i="17" s="1"/>
  <c r="X18" i="17"/>
  <c r="Z18" i="17" s="1"/>
  <c r="C45" i="9" l="1"/>
  <c r="C44" i="9"/>
  <c r="C43" i="9"/>
  <c r="D38" i="9"/>
  <c r="C38" i="9" s="1"/>
  <c r="D30" i="9"/>
  <c r="D22" i="9"/>
  <c r="D37" i="9"/>
  <c r="C37" i="9" s="1"/>
  <c r="D35" i="9"/>
  <c r="C35" i="9" s="1"/>
  <c r="D36" i="9"/>
  <c r="C36" i="9" s="1"/>
  <c r="D28" i="9"/>
  <c r="C28" i="9" s="1"/>
  <c r="D20" i="9"/>
  <c r="C20" i="9" s="1"/>
  <c r="D19" i="9"/>
  <c r="C19" i="9" s="1"/>
  <c r="D42" i="9"/>
  <c r="C42" i="9" s="1"/>
  <c r="D18" i="9"/>
  <c r="C18" i="9" s="1"/>
  <c r="C22" i="9"/>
  <c r="D41" i="9"/>
  <c r="C41" i="9" s="1"/>
  <c r="D33" i="9"/>
  <c r="C33" i="9" s="1"/>
  <c r="D25" i="9"/>
  <c r="C25" i="9" s="1"/>
  <c r="D17" i="9"/>
  <c r="C17" i="9" s="1"/>
  <c r="D23" i="9"/>
  <c r="C23" i="9" s="1"/>
  <c r="D27" i="9"/>
  <c r="C27" i="9" s="1"/>
  <c r="D34" i="9"/>
  <c r="C34" i="9" s="1"/>
  <c r="C30" i="9"/>
  <c r="D40" i="9"/>
  <c r="C40" i="9" s="1"/>
  <c r="D32" i="9"/>
  <c r="C32" i="9" s="1"/>
  <c r="D24" i="9"/>
  <c r="C24" i="9" s="1"/>
  <c r="D16" i="9"/>
  <c r="C16" i="9" s="1"/>
  <c r="D39" i="9"/>
  <c r="C39" i="9" s="1"/>
  <c r="D31" i="9"/>
  <c r="C31" i="9" s="1"/>
  <c r="D29" i="9"/>
  <c r="C29" i="9" s="1"/>
  <c r="D21" i="9"/>
  <c r="C21" i="9" s="1"/>
  <c r="D26" i="9"/>
  <c r="C26" i="9" s="1"/>
  <c r="T109" i="1"/>
  <c r="S109" i="1" s="1"/>
  <c r="E34" i="9"/>
  <c r="E35" i="9" s="1"/>
  <c r="E36" i="9" s="1"/>
  <c r="E37" i="9" s="1"/>
  <c r="E38" i="9" s="1"/>
  <c r="E39" i="9" s="1"/>
  <c r="E40" i="9" s="1"/>
  <c r="E41" i="9" s="1"/>
  <c r="E42" i="9" s="1"/>
  <c r="F34" i="9"/>
  <c r="F35" i="9" s="1"/>
  <c r="F36" i="9" s="1"/>
  <c r="F37" i="9" s="1"/>
  <c r="F38" i="9" s="1"/>
  <c r="F39" i="9" s="1"/>
  <c r="F40" i="9" s="1"/>
  <c r="F41" i="9" s="1"/>
  <c r="F42" i="9" s="1"/>
  <c r="F25" i="9"/>
  <c r="F26" i="9" s="1"/>
  <c r="F27" i="9" s="1"/>
  <c r="F28" i="9" s="1"/>
  <c r="F29" i="9" s="1"/>
  <c r="F30" i="9" s="1"/>
  <c r="F31" i="9" s="1"/>
  <c r="F32" i="9" s="1"/>
  <c r="F33" i="9" s="1"/>
  <c r="E25" i="9"/>
  <c r="E26" i="9" s="1"/>
  <c r="E27" i="9" s="1"/>
  <c r="E28" i="9" s="1"/>
  <c r="E29" i="9" s="1"/>
  <c r="E30" i="9" s="1"/>
  <c r="E31" i="9" s="1"/>
  <c r="E32" i="9" s="1"/>
  <c r="E33" i="9" s="1"/>
  <c r="P132" i="1"/>
  <c r="P131" i="1"/>
  <c r="P130" i="1"/>
  <c r="P129" i="1"/>
  <c r="P128" i="1"/>
  <c r="P127" i="1"/>
  <c r="P126" i="1"/>
  <c r="P125" i="1"/>
  <c r="P124" i="1"/>
  <c r="Q123" i="1"/>
  <c r="P123" i="1"/>
  <c r="P121" i="1"/>
  <c r="P120" i="1"/>
  <c r="Y102" i="1"/>
  <c r="V102" i="1"/>
  <c r="Y97" i="1" s="1"/>
  <c r="V101" i="1"/>
  <c r="V100" i="1"/>
  <c r="V103" i="1" s="1"/>
  <c r="P87" i="1"/>
  <c r="P86" i="1"/>
  <c r="P85" i="1"/>
  <c r="P84" i="1"/>
  <c r="P83" i="1"/>
  <c r="P82" i="1"/>
  <c r="P81" i="1"/>
  <c r="P80" i="1"/>
  <c r="P79" i="1"/>
  <c r="Q78" i="1"/>
  <c r="P78" i="1"/>
  <c r="P76" i="1"/>
  <c r="P75" i="1"/>
  <c r="Y57" i="1"/>
  <c r="V57" i="1"/>
  <c r="Y52" i="1" s="1"/>
  <c r="V56" i="1"/>
  <c r="Y51" i="1" s="1"/>
  <c r="V55" i="1"/>
  <c r="V58" i="1" s="1"/>
  <c r="F16" i="9"/>
  <c r="F17" i="9" s="1"/>
  <c r="F18" i="9" s="1"/>
  <c r="F19" i="9" s="1"/>
  <c r="F20" i="9" s="1"/>
  <c r="F21" i="9" s="1"/>
  <c r="F22" i="9" s="1"/>
  <c r="F23" i="9" s="1"/>
  <c r="F24" i="9" s="1"/>
  <c r="E16" i="9"/>
  <c r="E17" i="9" s="1"/>
  <c r="E18" i="9" s="1"/>
  <c r="E19" i="9" s="1"/>
  <c r="E20" i="9" s="1"/>
  <c r="E21" i="9" s="1"/>
  <c r="E22" i="9" s="1"/>
  <c r="E23" i="9" s="1"/>
  <c r="E24" i="9" s="1"/>
  <c r="V15" i="8"/>
  <c r="V16" i="8" s="1"/>
  <c r="U15" i="8"/>
  <c r="U16" i="8" s="1"/>
  <c r="T15" i="8"/>
  <c r="T16" i="8" s="1"/>
  <c r="T19" i="1"/>
  <c r="S19" i="1" s="1"/>
  <c r="V12" i="1"/>
  <c r="Y7" i="1" s="1"/>
  <c r="P42" i="1"/>
  <c r="P41" i="1"/>
  <c r="P40" i="1"/>
  <c r="P39" i="1"/>
  <c r="P38" i="1"/>
  <c r="P37" i="1"/>
  <c r="P36" i="1"/>
  <c r="P35" i="1"/>
  <c r="P34" i="1"/>
  <c r="Q33" i="1"/>
  <c r="P33" i="1"/>
  <c r="P31" i="1"/>
  <c r="P30" i="1"/>
  <c r="AQ20" i="1"/>
  <c r="AP20" i="1"/>
  <c r="AN20" i="1"/>
  <c r="AO20" i="1" s="1"/>
  <c r="Y12" i="1"/>
  <c r="V11" i="1"/>
  <c r="Y6" i="1" s="1"/>
  <c r="V13" i="1"/>
  <c r="Q40" i="1"/>
  <c r="S40" i="1" s="1"/>
  <c r="S64" i="1" l="1"/>
  <c r="AG18" i="1"/>
  <c r="AG17" i="1" s="1"/>
  <c r="R20" i="1"/>
  <c r="T20" i="1" s="1"/>
  <c r="S20" i="1" s="1"/>
  <c r="Q39" i="1"/>
  <c r="S39" i="1" s="1"/>
  <c r="G21" i="9" s="1"/>
  <c r="Q42" i="1"/>
  <c r="S42" i="1" s="1"/>
  <c r="G24" i="9" s="1"/>
  <c r="Q41" i="1"/>
  <c r="S41" i="1" s="1"/>
  <c r="G23" i="9" s="1"/>
  <c r="Q34" i="1"/>
  <c r="S34" i="1" s="1"/>
  <c r="Y16" i="8"/>
  <c r="Y15" i="8"/>
  <c r="Q37" i="1"/>
  <c r="S37" i="1" s="1"/>
  <c r="G19" i="9" s="1"/>
  <c r="Q35" i="1"/>
  <c r="Q38" i="1"/>
  <c r="S38" i="1" s="1"/>
  <c r="G20" i="9" s="1"/>
  <c r="Q36" i="1"/>
  <c r="S36" i="1" s="1"/>
  <c r="G18" i="9" s="1"/>
  <c r="Q79" i="1"/>
  <c r="J25" i="9" s="1"/>
  <c r="I25" i="9" s="1"/>
  <c r="Q81" i="1"/>
  <c r="Q83" i="1"/>
  <c r="Q85" i="1"/>
  <c r="Q87" i="1"/>
  <c r="Q125" i="1"/>
  <c r="Q127" i="1"/>
  <c r="Q129" i="1"/>
  <c r="Q131" i="1"/>
  <c r="Q80" i="1"/>
  <c r="J26" i="9" s="1"/>
  <c r="Q82" i="1"/>
  <c r="J28" i="9" s="1"/>
  <c r="Q84" i="1"/>
  <c r="Q86" i="1"/>
  <c r="Q124" i="1"/>
  <c r="Q126" i="1"/>
  <c r="Q128" i="1"/>
  <c r="Q130" i="1"/>
  <c r="Q132" i="1"/>
  <c r="Y96" i="1"/>
  <c r="R110" i="1"/>
  <c r="R111" i="1" s="1"/>
  <c r="R112" i="1" s="1"/>
  <c r="R65" i="1"/>
  <c r="G22" i="9"/>
  <c r="AG21" i="1"/>
  <c r="AG20" i="1" s="1"/>
  <c r="J29" i="9" l="1"/>
  <c r="J27" i="9"/>
  <c r="J32" i="9"/>
  <c r="J33" i="9"/>
  <c r="K33" i="9" s="1"/>
  <c r="J30" i="9"/>
  <c r="J31" i="9"/>
  <c r="J17" i="9"/>
  <c r="K17" i="9" s="1"/>
  <c r="S35" i="1"/>
  <c r="G17" i="9" s="1"/>
  <c r="R40" i="1"/>
  <c r="R21" i="1"/>
  <c r="J16" i="9"/>
  <c r="I16" i="9" s="1"/>
  <c r="R42" i="1"/>
  <c r="J24" i="9"/>
  <c r="K24" i="9" s="1"/>
  <c r="R39" i="1"/>
  <c r="J21" i="9"/>
  <c r="K21" i="9" s="1"/>
  <c r="R38" i="1"/>
  <c r="R36" i="1"/>
  <c r="J19" i="9"/>
  <c r="I20" i="9" s="1"/>
  <c r="R37" i="1"/>
  <c r="J18" i="9"/>
  <c r="I19" i="9" s="1"/>
  <c r="R35" i="1"/>
  <c r="G16" i="9"/>
  <c r="R34" i="1"/>
  <c r="Q10" i="17" s="1"/>
  <c r="R80" i="1"/>
  <c r="R79" i="1"/>
  <c r="R125" i="1"/>
  <c r="R41" i="1"/>
  <c r="J22" i="9"/>
  <c r="I23" i="9" s="1"/>
  <c r="J23" i="9"/>
  <c r="I24" i="9" s="1"/>
  <c r="R84" i="1"/>
  <c r="R132" i="1"/>
  <c r="R83" i="1"/>
  <c r="J20" i="9"/>
  <c r="I21" i="9" s="1"/>
  <c r="R124" i="1"/>
  <c r="R130" i="1"/>
  <c r="R126" i="1"/>
  <c r="R86" i="1"/>
  <c r="R82" i="1"/>
  <c r="R129" i="1"/>
  <c r="R128" i="1"/>
  <c r="R81" i="1"/>
  <c r="R87" i="1"/>
  <c r="R127" i="1"/>
  <c r="R85" i="1"/>
  <c r="R131" i="1"/>
  <c r="J42" i="9"/>
  <c r="K42" i="9" s="1"/>
  <c r="S132" i="1"/>
  <c r="G42" i="9" s="1"/>
  <c r="J38" i="9"/>
  <c r="K38" i="9" s="1"/>
  <c r="S128" i="1"/>
  <c r="G38" i="9" s="1"/>
  <c r="J34" i="9"/>
  <c r="I34" i="9" s="1"/>
  <c r="S124" i="1"/>
  <c r="G34" i="9" s="1"/>
  <c r="S84" i="1"/>
  <c r="G30" i="9" s="1"/>
  <c r="S80" i="1"/>
  <c r="G26" i="9" s="1"/>
  <c r="S131" i="1"/>
  <c r="G41" i="9" s="1"/>
  <c r="J41" i="9"/>
  <c r="K41" i="9" s="1"/>
  <c r="S127" i="1"/>
  <c r="G37" i="9" s="1"/>
  <c r="J37" i="9"/>
  <c r="K37" i="9" s="1"/>
  <c r="S87" i="1"/>
  <c r="G33" i="9" s="1"/>
  <c r="S83" i="1"/>
  <c r="G29" i="9" s="1"/>
  <c r="S79" i="1"/>
  <c r="G25" i="9" s="1"/>
  <c r="J40" i="9"/>
  <c r="K40" i="9" s="1"/>
  <c r="S130" i="1"/>
  <c r="G40" i="9" s="1"/>
  <c r="J36" i="9"/>
  <c r="K36" i="9" s="1"/>
  <c r="S126" i="1"/>
  <c r="G36" i="9" s="1"/>
  <c r="S86" i="1"/>
  <c r="G32" i="9" s="1"/>
  <c r="S82" i="1"/>
  <c r="G28" i="9" s="1"/>
  <c r="S129" i="1"/>
  <c r="G39" i="9" s="1"/>
  <c r="J39" i="9"/>
  <c r="K39" i="9" s="1"/>
  <c r="S125" i="1"/>
  <c r="G35" i="9" s="1"/>
  <c r="J35" i="9"/>
  <c r="K35" i="9" s="1"/>
  <c r="S85" i="1"/>
  <c r="G31" i="9" s="1"/>
  <c r="S81" i="1"/>
  <c r="G27" i="9" s="1"/>
  <c r="R113" i="1"/>
  <c r="R114" i="1" s="1"/>
  <c r="R115" i="1" s="1"/>
  <c r="T110" i="1"/>
  <c r="S110" i="1" s="1"/>
  <c r="R66" i="1"/>
  <c r="T65" i="1"/>
  <c r="S65" i="1" s="1"/>
  <c r="T21" i="1"/>
  <c r="S21" i="1" s="1"/>
  <c r="R22" i="1"/>
  <c r="I18" i="9" l="1"/>
  <c r="K16" i="9"/>
  <c r="I17" i="9"/>
  <c r="K18" i="9"/>
  <c r="S43" i="1"/>
  <c r="I22" i="9"/>
  <c r="Q11" i="17"/>
  <c r="K19" i="9"/>
  <c r="K20" i="9"/>
  <c r="K23" i="9"/>
  <c r="K22" i="9"/>
  <c r="S133" i="1"/>
  <c r="S88" i="1"/>
  <c r="K28" i="9"/>
  <c r="I29" i="9"/>
  <c r="K32" i="9"/>
  <c r="I33" i="9"/>
  <c r="K26" i="9"/>
  <c r="I27" i="9"/>
  <c r="K30" i="9"/>
  <c r="I31" i="9"/>
  <c r="K34" i="9"/>
  <c r="I35" i="9"/>
  <c r="I36" i="9" s="1"/>
  <c r="I37" i="9" s="1"/>
  <c r="I38" i="9" s="1"/>
  <c r="I39" i="9" s="1"/>
  <c r="I40" i="9" s="1"/>
  <c r="I41" i="9" s="1"/>
  <c r="I42" i="9" s="1"/>
  <c r="I28" i="9"/>
  <c r="K27" i="9"/>
  <c r="I32" i="9"/>
  <c r="K31" i="9"/>
  <c r="I26" i="9"/>
  <c r="K25" i="9"/>
  <c r="I30" i="9"/>
  <c r="K29" i="9"/>
  <c r="R116" i="1"/>
  <c r="R117" i="1" s="1"/>
  <c r="T111" i="1"/>
  <c r="T66" i="1"/>
  <c r="S66" i="1" s="1"/>
  <c r="R67" i="1"/>
  <c r="T22" i="1"/>
  <c r="S22" i="1" s="1"/>
  <c r="R23" i="1"/>
  <c r="R24" i="1" s="1"/>
  <c r="Q12" i="17" l="1"/>
  <c r="T112" i="1"/>
  <c r="S111" i="1"/>
  <c r="R118" i="1"/>
  <c r="T67" i="1"/>
  <c r="S67" i="1" s="1"/>
  <c r="R68" i="1"/>
  <c r="R69" i="1" s="1"/>
  <c r="T23" i="1"/>
  <c r="S23" i="1" s="1"/>
  <c r="R25" i="1"/>
  <c r="R26" i="1" s="1"/>
  <c r="Q13" i="17" l="1"/>
  <c r="Q14" i="17" s="1"/>
  <c r="R70" i="1"/>
  <c r="R71" i="1" s="1"/>
  <c r="R72" i="1" s="1"/>
  <c r="S112" i="1"/>
  <c r="T113" i="1"/>
  <c r="T68" i="1"/>
  <c r="T69" i="1" s="1"/>
  <c r="T24" i="1"/>
  <c r="S24" i="1" s="1"/>
  <c r="R27" i="1"/>
  <c r="R28" i="1" s="1"/>
  <c r="AA13" i="17" l="1"/>
  <c r="AA12" i="17"/>
  <c r="AA11" i="17"/>
  <c r="AA14" i="17"/>
  <c r="Q15" i="17"/>
  <c r="S68" i="1"/>
  <c r="S113" i="1"/>
  <c r="T114" i="1"/>
  <c r="S69" i="1"/>
  <c r="T70" i="1"/>
  <c r="S70" i="1" s="1"/>
  <c r="R73" i="1"/>
  <c r="T25" i="1"/>
  <c r="T26" i="1" s="1"/>
  <c r="S26" i="1" s="1"/>
  <c r="Q16" i="17" l="1"/>
  <c r="T71" i="1"/>
  <c r="T72" i="1" s="1"/>
  <c r="S72" i="1" s="1"/>
  <c r="S114" i="1"/>
  <c r="T115" i="1"/>
  <c r="S25" i="1"/>
  <c r="T27" i="1"/>
  <c r="T28" i="1" s="1"/>
  <c r="S28" i="1" s="1"/>
  <c r="Q17" i="17" l="1"/>
  <c r="Q18" i="17" s="1"/>
  <c r="S71" i="1"/>
  <c r="T73" i="1"/>
  <c r="S73" i="1" s="1"/>
  <c r="S115" i="1"/>
  <c r="T116" i="1"/>
  <c r="S27" i="1"/>
  <c r="AA17" i="17" l="1"/>
  <c r="AA16" i="17"/>
  <c r="AA15" i="17"/>
  <c r="AA18" i="17"/>
  <c r="S116" i="1"/>
  <c r="T117" i="1"/>
  <c r="S117" i="1" l="1"/>
  <c r="T118" i="1"/>
  <c r="S1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Andy Garrabrants</author>
  </authors>
  <commentList>
    <comment ref="C8" authorId="0" shapeId="0" xr:uid="{00000000-0006-0000-0000-000001000000}">
      <text>
        <r>
          <rPr>
            <b/>
            <sz val="8"/>
            <color indexed="81"/>
            <rFont val="Tahoma"/>
            <family val="2"/>
          </rPr>
          <t>Project Code:</t>
        </r>
        <r>
          <rPr>
            <sz val="8"/>
            <color indexed="81"/>
            <rFont val="Tahoma"/>
            <family val="2"/>
          </rPr>
          <t xml:space="preserve">
Enter a brief code that defines the client or the project (e.g., "EPA-1").</t>
        </r>
      </text>
    </comment>
    <comment ref="C12" authorId="0" shapeId="0" xr:uid="{00000000-0006-0000-0000-000002000000}">
      <text>
        <r>
          <rPr>
            <b/>
            <sz val="8"/>
            <color indexed="81"/>
            <rFont val="Tahoma"/>
            <family val="2"/>
          </rPr>
          <t>Project Description:</t>
        </r>
        <r>
          <rPr>
            <sz val="8"/>
            <color indexed="81"/>
            <rFont val="Tahoma"/>
            <family val="2"/>
          </rPr>
          <t xml:space="preserve">
Enter a description of the goals and parameters of the overall project of which material characterization may be only a portion.</t>
        </r>
      </text>
    </comment>
    <comment ref="C16" authorId="0" shapeId="0" xr:uid="{00000000-0006-0000-0000-000003000000}">
      <text>
        <r>
          <rPr>
            <b/>
            <sz val="8"/>
            <color indexed="81"/>
            <rFont val="Tahoma"/>
            <family val="2"/>
          </rPr>
          <t>Material Code (required):</t>
        </r>
        <r>
          <rPr>
            <sz val="8"/>
            <color indexed="81"/>
            <rFont val="Tahoma"/>
            <family val="2"/>
          </rPr>
          <t xml:space="preserve">
Enter a  brief code that defines the material for this project (e.g., "CFA" might describe a coal fly ash).</t>
        </r>
      </text>
    </comment>
    <comment ref="C17" authorId="0" shapeId="0" xr:uid="{00000000-0006-0000-0000-000004000000}">
      <text>
        <r>
          <rPr>
            <b/>
            <sz val="8"/>
            <color indexed="81"/>
            <rFont val="Tahoma"/>
            <family val="2"/>
          </rPr>
          <t>Material Replicate (required):</t>
        </r>
        <r>
          <rPr>
            <sz val="8"/>
            <color indexed="81"/>
            <rFont val="Tahoma"/>
            <family val="2"/>
          </rPr>
          <t xml:space="preserve">
Enter a letter (e.g., "A", "B", "C" …) representing the replicate of a material sample (e.g., the first sample in a time-series collection of samples might be labelled as replicate A).</t>
        </r>
      </text>
    </comment>
    <comment ref="C37" authorId="0" shapeId="0" xr:uid="{00000000-0006-0000-0000-000005000000}">
      <text>
        <r>
          <rPr>
            <b/>
            <sz val="8"/>
            <color indexed="81"/>
            <rFont val="Tahoma"/>
            <family val="2"/>
          </rPr>
          <t>Name of Database:</t>
        </r>
        <r>
          <rPr>
            <sz val="8"/>
            <color indexed="81"/>
            <rFont val="Tahoma"/>
            <family val="2"/>
          </rPr>
          <t xml:space="preserve">
If known, enter the name of the LeachXS Lite database to which this data will be uploaded.</t>
        </r>
      </text>
    </comment>
    <comment ref="C39" authorId="0" shapeId="0" xr:uid="{00000000-0006-0000-0000-000006000000}">
      <text>
        <r>
          <rPr>
            <b/>
            <sz val="8"/>
            <color indexed="81"/>
            <rFont val="Tahoma"/>
            <family val="2"/>
          </rPr>
          <t>Database Material Code:</t>
        </r>
        <r>
          <rPr>
            <sz val="8"/>
            <color indexed="81"/>
            <rFont val="Tahoma"/>
            <family val="2"/>
          </rPr>
          <t xml:space="preserve">
Enter a material code for the material in the LeachXS Lite database (if different than above).</t>
        </r>
      </text>
    </comment>
    <comment ref="C41" authorId="0" shapeId="0" xr:uid="{00000000-0006-0000-0000-000007000000}">
      <text>
        <r>
          <rPr>
            <b/>
            <sz val="8"/>
            <color indexed="81"/>
            <rFont val="Tahoma"/>
            <family val="2"/>
          </rPr>
          <t>Material Class (required):</t>
        </r>
        <r>
          <rPr>
            <sz val="8"/>
            <color indexed="81"/>
            <rFont val="Tahoma"/>
            <family val="2"/>
          </rPr>
          <t xml:space="preserve">
Select the most appropriate material class from the drop down menu or select "other" and enter a descriptor to the right.</t>
        </r>
      </text>
    </comment>
    <comment ref="C43" authorId="0" shapeId="0" xr:uid="{00000000-0006-0000-0000-000008000000}">
      <text>
        <r>
          <rPr>
            <b/>
            <sz val="8"/>
            <color indexed="81"/>
            <rFont val="Tahoma"/>
            <family val="2"/>
          </rPr>
          <t>Material Subclass (required):</t>
        </r>
        <r>
          <rPr>
            <sz val="8"/>
            <color indexed="81"/>
            <rFont val="Tahoma"/>
            <family val="2"/>
          </rPr>
          <t xml:space="preserve">
Select a material subclass from the drop down menu or select "other" and enter a descriptor to the right.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Andy Garrabrants</author>
  </authors>
  <commentList>
    <comment ref="S10" authorId="0" shapeId="0" xr:uid="{00000000-0006-0000-0200-000001000000}">
      <text>
        <r>
          <rPr>
            <b/>
            <sz val="8"/>
            <color indexed="81"/>
            <rFont val="Tahoma"/>
            <family val="2"/>
          </rPr>
          <t>Empty Dish:</t>
        </r>
        <r>
          <rPr>
            <sz val="8"/>
            <color indexed="81"/>
            <rFont val="Tahoma"/>
            <family val="2"/>
          </rPr>
          <t xml:space="preserve">
Enter the mass of an empty drying or suitable weighing dish.</t>
        </r>
      </text>
    </comment>
    <comment ref="S11" authorId="0" shapeId="0" xr:uid="{00000000-0006-0000-0200-000002000000}">
      <text>
        <r>
          <rPr>
            <b/>
            <sz val="8"/>
            <color indexed="81"/>
            <rFont val="Tahoma"/>
            <family val="2"/>
          </rPr>
          <t>Dish + "Wet" Sample:</t>
        </r>
        <r>
          <rPr>
            <sz val="8"/>
            <color indexed="81"/>
            <rFont val="Tahoma"/>
            <family val="2"/>
          </rPr>
          <t xml:space="preserve">
After adding 5-10 g of "wet" sample to the dish, enter the mass of the dish + sample.  This may be repeated (Dish-1, Dish-2, Dish-3) to improve the calculation of mean values.</t>
        </r>
      </text>
    </comment>
    <comment ref="S12" authorId="0" shapeId="0" xr:uid="{00000000-0006-0000-0200-000003000000}">
      <text>
        <r>
          <rPr>
            <b/>
            <sz val="8"/>
            <color indexed="81"/>
            <rFont val="Tahoma"/>
            <family val="2"/>
          </rPr>
          <t>Dish + "Dry" Sample:</t>
        </r>
        <r>
          <rPr>
            <sz val="8"/>
            <color indexed="81"/>
            <rFont val="Tahoma"/>
            <family val="2"/>
          </rPr>
          <t xml:space="preserve">
After drying at 105 </t>
        </r>
        <r>
          <rPr>
            <vertAlign val="superscript"/>
            <sz val="8"/>
            <color indexed="81"/>
            <rFont val="Tahoma"/>
            <family val="2"/>
          </rPr>
          <t>o</t>
        </r>
        <r>
          <rPr>
            <sz val="8"/>
            <color indexed="81"/>
            <rFont val="Tahoma"/>
            <family val="2"/>
          </rPr>
          <t>C for at least 24 hr, enter the mass of the dish + sample.</t>
        </r>
      </text>
    </comment>
    <comment ref="S13" authorId="0" shapeId="0" xr:uid="{00000000-0006-0000-0200-000004000000}">
      <text>
        <r>
          <rPr>
            <b/>
            <sz val="8"/>
            <color indexed="81"/>
            <rFont val="Tahoma"/>
            <family val="2"/>
          </rPr>
          <t>Check (Dish + "Dry" Sample):</t>
        </r>
        <r>
          <rPr>
            <sz val="8"/>
            <color indexed="81"/>
            <rFont val="Tahoma"/>
            <family val="2"/>
          </rPr>
          <t xml:space="preserve">
Upon obtaining a constant mass (</t>
        </r>
        <r>
          <rPr>
            <sz val="8"/>
            <color indexed="81"/>
            <rFont val="Calibri"/>
            <family val="2"/>
          </rPr>
          <t>±</t>
        </r>
        <r>
          <rPr>
            <sz val="8"/>
            <color indexed="81"/>
            <rFont val="Tahoma"/>
            <family val="2"/>
          </rPr>
          <t xml:space="preserve"> 0.01 g), enter the final mass of the dish + sample.  Moisture content and Solids Content will be calculated for each dish (below) and the mean of the values for Dish-1, Dish-2 and Dish-3 calculated for MC and SC (lower right).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Andy Garrabrants</author>
  </authors>
  <commentList>
    <comment ref="O5" authorId="0" shapeId="0" xr:uid="{00000000-0006-0000-0400-000001000000}">
      <text>
        <r>
          <rPr>
            <b/>
            <sz val="8"/>
            <color indexed="81"/>
            <rFont val="Tahoma"/>
            <family val="2"/>
          </rPr>
          <t>Method Detection Limit:</t>
        </r>
        <r>
          <rPr>
            <sz val="8"/>
            <color indexed="81"/>
            <rFont val="Tahoma"/>
            <family val="2"/>
          </rPr>
          <t xml:space="preserve">
Enter a MDL value as defined in Note 1.</t>
        </r>
      </text>
    </comment>
    <comment ref="O6" authorId="0" shapeId="0" xr:uid="{00000000-0006-0000-0400-000002000000}">
      <text>
        <r>
          <rPr>
            <b/>
            <sz val="8"/>
            <color indexed="81"/>
            <rFont val="Tahoma"/>
            <family val="2"/>
          </rPr>
          <t>Method Detection Limit:</t>
        </r>
        <r>
          <rPr>
            <sz val="8"/>
            <color indexed="81"/>
            <rFont val="Tahoma"/>
            <family val="2"/>
          </rPr>
          <t xml:space="preserve">
Enter a MDL value as defined in Note 1.</t>
        </r>
      </text>
    </comment>
    <comment ref="O7" authorId="0" shapeId="0" xr:uid="{00000000-0006-0000-0400-000003000000}">
      <text>
        <r>
          <rPr>
            <b/>
            <sz val="8"/>
            <color indexed="81"/>
            <rFont val="Tahoma"/>
            <family val="2"/>
          </rPr>
          <t>Type of RL:</t>
        </r>
        <r>
          <rPr>
            <sz val="8"/>
            <color indexed="81"/>
            <rFont val="Tahoma"/>
            <family val="2"/>
          </rPr>
          <t xml:space="preserve">
Select a type of RL from the drop-down list.</t>
        </r>
      </text>
    </comment>
    <comment ref="O8" authorId="0" shapeId="0" xr:uid="{00000000-0006-0000-0400-000004000000}">
      <text>
        <r>
          <rPr>
            <b/>
            <sz val="8"/>
            <color indexed="81"/>
            <rFont val="Tahoma"/>
            <family val="2"/>
          </rPr>
          <t>Analytic Method:</t>
        </r>
        <r>
          <rPr>
            <sz val="8"/>
            <color indexed="81"/>
            <rFont val="Tahoma"/>
            <family val="2"/>
          </rPr>
          <t xml:space="preserve">
Select an Analytical Method from the drop down menu.</t>
        </r>
      </text>
    </comment>
    <comment ref="O9" authorId="0" shapeId="0" xr:uid="{00000000-0006-0000-0400-000005000000}">
      <text>
        <r>
          <rPr>
            <b/>
            <sz val="8"/>
            <color indexed="81"/>
            <rFont val="Tahoma"/>
            <family val="2"/>
          </rPr>
          <t>Analysis Date:</t>
        </r>
        <r>
          <rPr>
            <sz val="8"/>
            <color indexed="81"/>
            <rFont val="Tahoma"/>
            <family val="2"/>
          </rPr>
          <t xml:space="preserve">
Enter the date that the chemical analysis was performed or completed.  Value will automatically convert to "dd-mmm-yy" format.</t>
        </r>
      </text>
    </comment>
    <comment ref="G11" authorId="0" shapeId="0" xr:uid="{00000000-0006-0000-0400-000006000000}">
      <text>
        <r>
          <rPr>
            <b/>
            <sz val="8"/>
            <color indexed="81"/>
            <rFont val="Tahoma"/>
            <family val="2"/>
          </rPr>
          <t>Analytical Lab Name:</t>
        </r>
        <r>
          <rPr>
            <sz val="8"/>
            <color indexed="81"/>
            <rFont val="Tahoma"/>
            <family val="2"/>
          </rPr>
          <t xml:space="preserve">
Enter the name of the lab perfoming the chemical analysis.</t>
        </r>
      </text>
    </comment>
  </commentList>
</comments>
</file>

<file path=xl/sharedStrings.xml><?xml version="1.0" encoding="utf-8"?>
<sst xmlns="http://schemas.openxmlformats.org/spreadsheetml/2006/main" count="1441" uniqueCount="812">
  <si>
    <t>Code</t>
  </si>
  <si>
    <t xml:space="preserve">Project </t>
  </si>
  <si>
    <t>Bed Parameters</t>
  </si>
  <si>
    <t xml:space="preserve">Material </t>
  </si>
  <si>
    <t xml:space="preserve">Bed Height </t>
  </si>
  <si>
    <t xml:space="preserve"> cm</t>
  </si>
  <si>
    <t xml:space="preserve">Replicate </t>
  </si>
  <si>
    <t xml:space="preserve">Bed Volume </t>
  </si>
  <si>
    <r>
      <t xml:space="preserve"> cm</t>
    </r>
    <r>
      <rPr>
        <vertAlign val="superscript"/>
        <sz val="11"/>
        <color indexed="8"/>
        <rFont val="Calibri"/>
        <family val="2"/>
      </rPr>
      <t>3</t>
    </r>
  </si>
  <si>
    <t xml:space="preserve"> g</t>
  </si>
  <si>
    <t>Column Dimensions</t>
  </si>
  <si>
    <t xml:space="preserve">Solids Content </t>
  </si>
  <si>
    <t xml:space="preserve"> g-dry/g</t>
  </si>
  <si>
    <t>Flow Rates Bounds (Residence Time)</t>
  </si>
  <si>
    <t>Calcium Chloride Eluant Calculator</t>
  </si>
  <si>
    <t>Volume</t>
  </si>
  <si>
    <t xml:space="preserve">Bed Mass (dry) </t>
  </si>
  <si>
    <t xml:space="preserve"> g-dry</t>
  </si>
  <si>
    <t xml:space="preserve">Res. Time </t>
  </si>
  <si>
    <t xml:space="preserve">Target Concentration </t>
  </si>
  <si>
    <r>
      <t xml:space="preserve"> mM CaCl</t>
    </r>
    <r>
      <rPr>
        <vertAlign val="subscript"/>
        <sz val="11"/>
        <rFont val="Calibri"/>
        <family val="2"/>
      </rPr>
      <t>2</t>
    </r>
  </si>
  <si>
    <t xml:space="preserve">Water in Bed (sat'd) </t>
  </si>
  <si>
    <t>Flow Rates</t>
  </si>
  <si>
    <t>MW</t>
  </si>
  <si>
    <t>Mass</t>
  </si>
  <si>
    <t>Conc</t>
  </si>
  <si>
    <t xml:space="preserve">Pore Volume </t>
  </si>
  <si>
    <t xml:space="preserve">Vol Rate </t>
  </si>
  <si>
    <t xml:space="preserve"> mL/d</t>
  </si>
  <si>
    <r>
      <t>CaCl</t>
    </r>
    <r>
      <rPr>
        <b/>
        <vertAlign val="subscript"/>
        <sz val="11"/>
        <rFont val="Calibri"/>
        <family val="2"/>
      </rPr>
      <t>2</t>
    </r>
    <r>
      <rPr>
        <b/>
        <sz val="11"/>
        <rFont val="Calibri"/>
        <family val="2"/>
      </rPr>
      <t>·2H</t>
    </r>
    <r>
      <rPr>
        <b/>
        <vertAlign val="subscript"/>
        <sz val="11"/>
        <rFont val="Calibri"/>
        <family val="2"/>
      </rPr>
      <t>2</t>
    </r>
    <r>
      <rPr>
        <b/>
        <sz val="11"/>
        <rFont val="Calibri"/>
        <family val="2"/>
      </rPr>
      <t>O</t>
    </r>
  </si>
  <si>
    <r>
      <t>CaCl</t>
    </r>
    <r>
      <rPr>
        <b/>
        <vertAlign val="subscript"/>
        <sz val="11"/>
        <rFont val="Calibri"/>
        <family val="2"/>
      </rPr>
      <t>2</t>
    </r>
  </si>
  <si>
    <r>
      <t>Ca</t>
    </r>
    <r>
      <rPr>
        <b/>
        <vertAlign val="superscript"/>
        <sz val="11"/>
        <rFont val="Calibri"/>
        <family val="2"/>
      </rPr>
      <t>+2</t>
    </r>
  </si>
  <si>
    <r>
      <t>Cl</t>
    </r>
    <r>
      <rPr>
        <b/>
        <vertAlign val="superscript"/>
        <sz val="11"/>
        <rFont val="Calibri"/>
        <family val="2"/>
      </rPr>
      <t>-</t>
    </r>
  </si>
  <si>
    <t xml:space="preserve">Bed Porosity </t>
  </si>
  <si>
    <r>
      <t xml:space="preserve"> cm</t>
    </r>
    <r>
      <rPr>
        <vertAlign val="superscript"/>
        <sz val="11"/>
        <rFont val="Calibri"/>
        <family val="2"/>
      </rPr>
      <t>3</t>
    </r>
    <r>
      <rPr>
        <sz val="11"/>
        <color theme="1"/>
        <rFont val="Calibri"/>
        <family val="2"/>
        <scheme val="minor"/>
      </rPr>
      <t>/cm</t>
    </r>
    <r>
      <rPr>
        <vertAlign val="superscript"/>
        <sz val="11"/>
        <rFont val="Calibri"/>
        <family val="2"/>
      </rPr>
      <t>3</t>
    </r>
  </si>
  <si>
    <t>[L]</t>
  </si>
  <si>
    <t>[g/mol]</t>
  </si>
  <si>
    <t>[g]</t>
  </si>
  <si>
    <t>[mg/L}</t>
  </si>
  <si>
    <t>[mg/L]</t>
  </si>
  <si>
    <t>Fraction</t>
  </si>
  <si>
    <t>Day of</t>
  </si>
  <si>
    <t>Scheduled</t>
  </si>
  <si>
    <t>Actual</t>
  </si>
  <si>
    <t>Bottle</t>
  </si>
  <si>
    <t>Eluate</t>
  </si>
  <si>
    <t>Interval</t>
  </si>
  <si>
    <t>Label</t>
  </si>
  <si>
    <t>Week</t>
  </si>
  <si>
    <t>Collection</t>
  </si>
  <si>
    <t>Tare</t>
  </si>
  <si>
    <t>&amp; Bottle</t>
  </si>
  <si>
    <t>pH</t>
  </si>
  <si>
    <t>Cond.</t>
  </si>
  <si>
    <t>Collected</t>
  </si>
  <si>
    <t>Flowrate</t>
  </si>
  <si>
    <t>[mL/g-dry]</t>
  </si>
  <si>
    <t>[mL]</t>
  </si>
  <si>
    <t>Date/Time</t>
  </si>
  <si>
    <t>[-]</t>
  </si>
  <si>
    <t>[mS/cm]</t>
  </si>
  <si>
    <t>By</t>
  </si>
  <si>
    <t>[mL/d]</t>
  </si>
  <si>
    <t>-</t>
  </si>
  <si>
    <t>T01</t>
  </si>
  <si>
    <t>T02</t>
  </si>
  <si>
    <t>T03</t>
  </si>
  <si>
    <t>T04</t>
  </si>
  <si>
    <t>T05</t>
  </si>
  <si>
    <t>T06</t>
  </si>
  <si>
    <t>T07</t>
  </si>
  <si>
    <t>T08</t>
  </si>
  <si>
    <t>T09</t>
  </si>
  <si>
    <t>A</t>
  </si>
  <si>
    <t>Dish-3</t>
  </si>
  <si>
    <t>Date</t>
  </si>
  <si>
    <t>Time</t>
  </si>
  <si>
    <t xml:space="preserve">Mean MC = </t>
  </si>
  <si>
    <t xml:space="preserve">Mean SC = </t>
  </si>
  <si>
    <t xml:space="preserve">Bed Sample Mass </t>
  </si>
  <si>
    <t>Sample</t>
  </si>
  <si>
    <t>Hg</t>
  </si>
  <si>
    <t>IC</t>
  </si>
  <si>
    <t>ICP</t>
  </si>
  <si>
    <t>C</t>
  </si>
  <si>
    <t>E</t>
  </si>
  <si>
    <t>Analytical</t>
  </si>
  <si>
    <t xml:space="preserve">  PROJECT INFORMATION</t>
  </si>
  <si>
    <t xml:space="preserve">Project Code </t>
  </si>
  <si>
    <t xml:space="preserve">Project Sponsor </t>
  </si>
  <si>
    <t xml:space="preserve">Project Description </t>
  </si>
  <si>
    <t xml:space="preserve">Material Code </t>
  </si>
  <si>
    <t xml:space="preserve">Test Method Lab </t>
  </si>
  <si>
    <t xml:space="preserve">Date Complete </t>
  </si>
  <si>
    <t xml:space="preserve">Contact </t>
  </si>
  <si>
    <t xml:space="preserve">Phone </t>
  </si>
  <si>
    <t xml:space="preserve">Analytical Lab </t>
  </si>
  <si>
    <t xml:space="preserve">  DATABASE INFORMATION</t>
  </si>
  <si>
    <t xml:space="preserve">  SIGNATURES</t>
  </si>
  <si>
    <t xml:space="preserve">Data Compiler: </t>
  </si>
  <si>
    <t xml:space="preserve">Date: </t>
  </si>
  <si>
    <t xml:space="preserve">Data Reviewer: </t>
  </si>
  <si>
    <t xml:space="preserve">Approved by: </t>
  </si>
  <si>
    <t>Pb</t>
  </si>
  <si>
    <t>Li</t>
  </si>
  <si>
    <t>Sn</t>
  </si>
  <si>
    <t>Ti</t>
  </si>
  <si>
    <t>U</t>
  </si>
  <si>
    <t>Project ID</t>
  </si>
  <si>
    <t>Material ID</t>
  </si>
  <si>
    <t>Test ID</t>
  </si>
  <si>
    <t>Eluate Composition</t>
  </si>
  <si>
    <t>"As Tested"</t>
  </si>
  <si>
    <t>Moisture</t>
  </si>
  <si>
    <t>Aluminum</t>
  </si>
  <si>
    <t>Antimony</t>
  </si>
  <si>
    <t>Arsenic</t>
  </si>
  <si>
    <t>Barium</t>
  </si>
  <si>
    <t>Beryllium</t>
  </si>
  <si>
    <t>Boron</t>
  </si>
  <si>
    <t>Cadmium</t>
  </si>
  <si>
    <t>Calcium</t>
  </si>
  <si>
    <t>Cesium</t>
  </si>
  <si>
    <t>Chromium</t>
  </si>
  <si>
    <t>Cobalt</t>
  </si>
  <si>
    <t>Copper</t>
  </si>
  <si>
    <t>Iron</t>
  </si>
  <si>
    <t>Lead</t>
  </si>
  <si>
    <t>Lithium</t>
  </si>
  <si>
    <t>Magnesium</t>
  </si>
  <si>
    <t>Manganese</t>
  </si>
  <si>
    <t>Molybdenum</t>
  </si>
  <si>
    <t>Nickel</t>
  </si>
  <si>
    <t>Potassium</t>
  </si>
  <si>
    <t>Selenium</t>
  </si>
  <si>
    <t>Silicon</t>
  </si>
  <si>
    <t>Sodium</t>
  </si>
  <si>
    <t>Strontium</t>
  </si>
  <si>
    <t>Thallium</t>
  </si>
  <si>
    <t>Tin</t>
  </si>
  <si>
    <t>Titanium</t>
  </si>
  <si>
    <t>Uranium</t>
  </si>
  <si>
    <t>Vanadium</t>
  </si>
  <si>
    <t>Zinc</t>
  </si>
  <si>
    <t>Mercury</t>
  </si>
  <si>
    <t>Fluoride</t>
  </si>
  <si>
    <t>Chloride</t>
  </si>
  <si>
    <t>Bromide</t>
  </si>
  <si>
    <t>Nitrite</t>
  </si>
  <si>
    <t>Nitrate</t>
  </si>
  <si>
    <t>Phosphate</t>
  </si>
  <si>
    <t>Sulfate</t>
  </si>
  <si>
    <t>Inorganic C</t>
  </si>
  <si>
    <t>Organic C</t>
  </si>
  <si>
    <t>Solid</t>
  </si>
  <si>
    <t>Content</t>
  </si>
  <si>
    <t>ORP</t>
  </si>
  <si>
    <t>Al</t>
  </si>
  <si>
    <t>Sb</t>
  </si>
  <si>
    <t>As</t>
  </si>
  <si>
    <t>Ba</t>
  </si>
  <si>
    <t>Be</t>
  </si>
  <si>
    <t>B</t>
  </si>
  <si>
    <t>Cd</t>
  </si>
  <si>
    <t>Ca</t>
  </si>
  <si>
    <t>Cs</t>
  </si>
  <si>
    <t>Cr</t>
  </si>
  <si>
    <t>Co</t>
  </si>
  <si>
    <t>Cu</t>
  </si>
  <si>
    <t>Fe</t>
  </si>
  <si>
    <t>Mg</t>
  </si>
  <si>
    <t>Mn</t>
  </si>
  <si>
    <t>Mo</t>
  </si>
  <si>
    <t>Ni</t>
  </si>
  <si>
    <t>K</t>
  </si>
  <si>
    <t>Se</t>
  </si>
  <si>
    <t>Si</t>
  </si>
  <si>
    <t>Na</t>
  </si>
  <si>
    <t>Sr</t>
  </si>
  <si>
    <t>Tl</t>
  </si>
  <si>
    <t>V</t>
  </si>
  <si>
    <t>Zn</t>
  </si>
  <si>
    <t>F</t>
  </si>
  <si>
    <t>Cl</t>
  </si>
  <si>
    <t>Br</t>
  </si>
  <si>
    <t>NO2</t>
  </si>
  <si>
    <t>NO3</t>
  </si>
  <si>
    <t>PO4</t>
  </si>
  <si>
    <t>SO4</t>
  </si>
  <si>
    <t>DIC</t>
  </si>
  <si>
    <t>DOC</t>
  </si>
  <si>
    <t>Sample ID</t>
  </si>
  <si>
    <t>µg/L</t>
  </si>
  <si>
    <t>MOISTURE CONTENT (WET BASIS) AND SOLIDS CONTENT INSTRUCTIONS</t>
  </si>
  <si>
    <t>Test conducted by:</t>
  </si>
  <si>
    <t>Dish-1</t>
  </si>
  <si>
    <t>Dish-2</t>
  </si>
  <si>
    <t xml:space="preserve">Empty Dish [g] </t>
  </si>
  <si>
    <t xml:space="preserve">Dish + Sample [g] </t>
  </si>
  <si>
    <t xml:space="preserve">Dish + Dry Sample [g] </t>
  </si>
  <si>
    <t xml:space="preserve">Check (Dish + Dry Sample) [g] </t>
  </si>
  <si>
    <r>
      <t>Moisture Content (MC) [g-</t>
    </r>
    <r>
      <rPr>
        <sz val="11"/>
        <rFont val="Calibri"/>
        <family val="2"/>
      </rPr>
      <t xml:space="preserve">water/g] </t>
    </r>
  </si>
  <si>
    <t xml:space="preserve"> [g-water/g]</t>
  </si>
  <si>
    <r>
      <t>Solids Content (SC) [g-</t>
    </r>
    <r>
      <rPr>
        <sz val="11"/>
        <rFont val="Calibri"/>
        <family val="2"/>
      </rPr>
      <t xml:space="preserve">dry/g] </t>
    </r>
  </si>
  <si>
    <t xml:space="preserve"> [g-dry/g]</t>
  </si>
  <si>
    <t>Carbon</t>
  </si>
  <si>
    <t>D</t>
  </si>
  <si>
    <t>ΣLS Ratio</t>
  </si>
  <si>
    <t>Limited Analysis</t>
  </si>
  <si>
    <t>Index Testing</t>
  </si>
  <si>
    <t>Conc.</t>
  </si>
  <si>
    <t>ΣRel</t>
  </si>
  <si>
    <t>0.2 ±0.1</t>
  </si>
  <si>
    <t>a</t>
  </si>
  <si>
    <t>0.5 ±0.1</t>
  </si>
  <si>
    <t>↓</t>
  </si>
  <si>
    <t>1.0 ±0.2</t>
  </si>
  <si>
    <t>1.5 ±0.2</t>
  </si>
  <si>
    <t>2.0 ±0.2</t>
  </si>
  <si>
    <t>4.5 ±0.2</t>
  </si>
  <si>
    <t>5.0 ±0.2</t>
  </si>
  <si>
    <t>9.5 ±0.2</t>
  </si>
  <si>
    <t>10.0 ±0.2</t>
  </si>
  <si>
    <r>
      <t>NOTE:</t>
    </r>
    <r>
      <rPr>
        <sz val="11"/>
        <color theme="1"/>
        <rFont val="Arial"/>
        <family val="2"/>
      </rPr>
      <t xml:space="preserve">  </t>
    </r>
    <r>
      <rPr>
        <sz val="11"/>
        <color theme="1"/>
        <rFont val="Symbol"/>
        <family val="1"/>
        <charset val="2"/>
      </rPr>
      <t>S</t>
    </r>
    <r>
      <rPr>
        <sz val="11"/>
        <color theme="1"/>
        <rFont val="Arial"/>
        <family val="2"/>
      </rPr>
      <t>Rel = cumulative release.</t>
    </r>
  </si>
  <si>
    <r>
      <t>a</t>
    </r>
    <r>
      <rPr>
        <sz val="11"/>
        <color theme="1"/>
        <rFont val="Arial"/>
        <family val="2"/>
      </rPr>
      <t xml:space="preserve"> = collect eluate fraction (or pool of fractions) as analytical sample.</t>
    </r>
  </si>
  <si>
    <t>↓ = composite eluate fraction with next fraction to create analytical sample.</t>
  </si>
  <si>
    <t>Method 1314 Table 1</t>
  </si>
  <si>
    <t>Complete Characterization</t>
  </si>
  <si>
    <r>
      <t xml:space="preserve">a </t>
    </r>
    <r>
      <rPr>
        <sz val="11"/>
        <color theme="1"/>
        <rFont val="Times New Roman"/>
        <family val="1"/>
      </rPr>
      <t>T05c</t>
    </r>
  </si>
  <si>
    <r>
      <t xml:space="preserve">a </t>
    </r>
    <r>
      <rPr>
        <sz val="11"/>
        <color theme="1"/>
        <rFont val="Times New Roman"/>
        <family val="1"/>
      </rPr>
      <t>T09</t>
    </r>
    <r>
      <rPr>
        <sz val="10"/>
        <color theme="1"/>
        <rFont val="Times New Roman"/>
        <family val="1"/>
      </rPr>
      <t>c</t>
    </r>
  </si>
  <si>
    <r>
      <t xml:space="preserve">a </t>
    </r>
    <r>
      <rPr>
        <sz val="11"/>
        <color theme="1"/>
        <rFont val="Times New Roman"/>
        <family val="1"/>
      </rPr>
      <t>T09c</t>
    </r>
  </si>
  <si>
    <r>
      <t xml:space="preserve">a </t>
    </r>
    <r>
      <rPr>
        <sz val="11"/>
        <color theme="1"/>
        <rFont val="Times New Roman"/>
        <family val="1"/>
      </rPr>
      <t>T07c</t>
    </r>
  </si>
  <si>
    <t xml:space="preserve">Analytical Option       </t>
  </si>
  <si>
    <t>Required Volume for Analytical Sample</t>
  </si>
  <si>
    <t>Total</t>
  </si>
  <si>
    <t>Target</t>
  </si>
  <si>
    <t>Analytical Option</t>
  </si>
  <si>
    <t>Composite</t>
  </si>
  <si>
    <t>Schedule of Fraction Collections and Analytical Samples</t>
  </si>
  <si>
    <t>Flow</t>
  </si>
  <si>
    <t>Rate</t>
  </si>
  <si>
    <t>@ End</t>
  </si>
  <si>
    <t>@ Begin</t>
  </si>
  <si>
    <t>[mV]</t>
  </si>
  <si>
    <t>#</t>
  </si>
  <si>
    <t>Test Started on</t>
  </si>
  <si>
    <t xml:space="preserve">Diameter </t>
  </si>
  <si>
    <t xml:space="preserve">Height </t>
  </si>
  <si>
    <t xml:space="preserve">Volume </t>
  </si>
  <si>
    <t xml:space="preserve">  cm</t>
  </si>
  <si>
    <r>
      <t xml:space="preserve">  cm</t>
    </r>
    <r>
      <rPr>
        <vertAlign val="superscript"/>
        <sz val="11"/>
        <rFont val="Calibri"/>
        <family val="2"/>
      </rPr>
      <t>3</t>
    </r>
  </si>
  <si>
    <t>SCR</t>
  </si>
  <si>
    <t>Fly Ash Class</t>
  </si>
  <si>
    <t>Residue Handling</t>
  </si>
  <si>
    <t>Citation</t>
  </si>
  <si>
    <t>Name</t>
  </si>
  <si>
    <t>Description</t>
  </si>
  <si>
    <t>Coal milling rejects</t>
  </si>
  <si>
    <t>Coal milling rejects w/ pyrite</t>
  </si>
  <si>
    <t>Bottom ash</t>
  </si>
  <si>
    <t>Fly ash</t>
  </si>
  <si>
    <t>Fly ash - DSI</t>
  </si>
  <si>
    <t>Fly ash - FSI</t>
  </si>
  <si>
    <t>Scrubber sludge</t>
  </si>
  <si>
    <t>FGD Gypsum, unwashed</t>
  </si>
  <si>
    <t>FGD Gypsum, washed</t>
  </si>
  <si>
    <t>Fixated stabilized sludge</t>
  </si>
  <si>
    <t>Fixated stabilized sludge with lime</t>
  </si>
  <si>
    <t>Other</t>
  </si>
  <si>
    <t>Particulate Capture</t>
  </si>
  <si>
    <t>Hot-side ESP</t>
  </si>
  <si>
    <t>Cold-side ESP</t>
  </si>
  <si>
    <t>Fabric Filter</t>
  </si>
  <si>
    <t>Hot-side ESP w/COHPAC</t>
  </si>
  <si>
    <t>Wet - Inhibited oxidation</t>
  </si>
  <si>
    <t>Wet - Natural oxidation</t>
  </si>
  <si>
    <t>Wet - Forced oxidation</t>
  </si>
  <si>
    <t>Spray dryer</t>
  </si>
  <si>
    <t>None</t>
  </si>
  <si>
    <t>Lime</t>
  </si>
  <si>
    <t>Limestone</t>
  </si>
  <si>
    <t>Magnesium lime</t>
  </si>
  <si>
    <t>Sodium carbonate</t>
  </si>
  <si>
    <t>Sodium bicarbonate</t>
  </si>
  <si>
    <t xml:space="preserve">Hg Sorbent Injection </t>
  </si>
  <si>
    <t>Powdered activated carbon</t>
  </si>
  <si>
    <t>Brominated activated carbon</t>
  </si>
  <si>
    <t>Furnace Sorbent inj. - Troana</t>
  </si>
  <si>
    <t>Furnace Sorbent inj. - CaCO3</t>
  </si>
  <si>
    <t>Furnace Sorbent inj. - MgO</t>
  </si>
  <si>
    <t>Duct Sorbent inj. - Troana</t>
  </si>
  <si>
    <t>Duct Sorbent inj. - CaCO3</t>
  </si>
  <si>
    <t>Duct Sorbent inj. - MgO</t>
  </si>
  <si>
    <t>Wet</t>
  </si>
  <si>
    <t>Dry</t>
  </si>
  <si>
    <t>SCR-BP</t>
  </si>
  <si>
    <t>SNCR</t>
  </si>
  <si>
    <t>SNCR-BP</t>
  </si>
  <si>
    <t>SCR &amp; SNCR</t>
  </si>
  <si>
    <t>SOFA</t>
  </si>
  <si>
    <t>Rich Reagent Inj.</t>
  </si>
  <si>
    <t>Class C</t>
  </si>
  <si>
    <t>Class F</t>
  </si>
  <si>
    <t>not applicable</t>
  </si>
  <si>
    <t>EPA-600/R-06/008</t>
  </si>
  <si>
    <t>EPA-600/R-08/077</t>
  </si>
  <si>
    <t>Report 4</t>
  </si>
  <si>
    <t>Vol DI</t>
  </si>
  <si>
    <t>Water</t>
  </si>
  <si>
    <t>COMPOSITE SAMPLE CALCULATOR</t>
  </si>
  <si>
    <t>ANALYTICAL SAMPLE COMPOSITING</t>
  </si>
  <si>
    <t>COAL COMBUSTION RESIDUE CLASSIFICATION</t>
  </si>
  <si>
    <t>NOx Control</t>
  </si>
  <si>
    <t>Flow Rate</t>
  </si>
  <si>
    <t xml:space="preserve">  Notes</t>
  </si>
  <si>
    <r>
      <t xml:space="preserve">  First 10 mL sample - compare pH to T01 pH and combine eluants if </t>
    </r>
    <r>
      <rPr>
        <sz val="11"/>
        <rFont val="Calibri"/>
        <family val="2"/>
      </rPr>
      <t>± 0.5</t>
    </r>
  </si>
  <si>
    <t>PERCOLATION TEST INSTRUCTIONS</t>
  </si>
  <si>
    <t>g</t>
  </si>
  <si>
    <t>mL/h</t>
  </si>
  <si>
    <t>mL</t>
  </si>
  <si>
    <t>mL/g-dry</t>
  </si>
  <si>
    <t>s.u.</t>
  </si>
  <si>
    <t>mS/cm</t>
  </si>
  <si>
    <t>mV</t>
  </si>
  <si>
    <t>ICP-MS</t>
  </si>
  <si>
    <t>TOC</t>
  </si>
  <si>
    <t>ISE</t>
  </si>
  <si>
    <t xml:space="preserve">Analysis Date </t>
  </si>
  <si>
    <t>RESIDUE</t>
  </si>
  <si>
    <t>PROCESS</t>
  </si>
  <si>
    <t>COAL SOURCE</t>
  </si>
  <si>
    <t>CCR Categories (based on process origin)</t>
  </si>
  <si>
    <t>Coal Types</t>
  </si>
  <si>
    <t>Reagent water (e.g., ASTM Type I)</t>
  </si>
  <si>
    <t>Bituminous</t>
  </si>
  <si>
    <t>CaCl2 (1mM)</t>
  </si>
  <si>
    <t>Dilution solution of calcium choride</t>
  </si>
  <si>
    <t>Bituminous (High S)</t>
  </si>
  <si>
    <t>Bituminous (Low S)</t>
  </si>
  <si>
    <t>Bituminous (Med S)</t>
  </si>
  <si>
    <t>Lignite</t>
  </si>
  <si>
    <t>HNO3</t>
  </si>
  <si>
    <t>Nitric Acid</t>
  </si>
  <si>
    <t>PRB/Lignite blend</t>
  </si>
  <si>
    <t>PRB/Low S bit (85:15)</t>
  </si>
  <si>
    <t>Sub-bituminous</t>
  </si>
  <si>
    <t>KOH</t>
  </si>
  <si>
    <t>Potassium Hydroxide</t>
  </si>
  <si>
    <t>Regions</t>
  </si>
  <si>
    <t>NaOH</t>
  </si>
  <si>
    <t>Sodium Hydroxide</t>
  </si>
  <si>
    <t>Eastern Bituminous</t>
  </si>
  <si>
    <t>Gulf Coast</t>
  </si>
  <si>
    <t>Illinois Basin</t>
  </si>
  <si>
    <t>Powder River Basin</t>
  </si>
  <si>
    <t>Southern Appalachian</t>
  </si>
  <si>
    <t>Scrubber Types</t>
  </si>
  <si>
    <t>Facilities</t>
  </si>
  <si>
    <t>Brayton Point</t>
  </si>
  <si>
    <t>Air</t>
  </si>
  <si>
    <t>Facility A</t>
  </si>
  <si>
    <t>Facility Aa</t>
  </si>
  <si>
    <t>Construction</t>
  </si>
  <si>
    <t>Facility B</t>
  </si>
  <si>
    <t>Facility Ba</t>
  </si>
  <si>
    <t>Fuel</t>
  </si>
  <si>
    <t>FGD Scrubber Additives</t>
  </si>
  <si>
    <t>Facility C</t>
  </si>
  <si>
    <t>Landfill</t>
  </si>
  <si>
    <t>EPA Report 1</t>
  </si>
  <si>
    <t>Facility Ca</t>
  </si>
  <si>
    <t>EPA Report 2</t>
  </si>
  <si>
    <t>Facility Da</t>
  </si>
  <si>
    <t>EPA-600/R-08/151</t>
  </si>
  <si>
    <t>EPA Report 3</t>
  </si>
  <si>
    <t>Facility E</t>
  </si>
  <si>
    <t>Facility F</t>
  </si>
  <si>
    <t>Facility G</t>
  </si>
  <si>
    <t>Facility H</t>
  </si>
  <si>
    <t>Facility K</t>
  </si>
  <si>
    <t>Facility L</t>
  </si>
  <si>
    <t>AAS</t>
  </si>
  <si>
    <t>Facility M</t>
  </si>
  <si>
    <t>SO3 Control</t>
  </si>
  <si>
    <t>Facility N</t>
  </si>
  <si>
    <t>Facility O</t>
  </si>
  <si>
    <t>Facility P</t>
  </si>
  <si>
    <t>AAS-GF</t>
  </si>
  <si>
    <t>Facility Q</t>
  </si>
  <si>
    <t>Facility R</t>
  </si>
  <si>
    <t>Facility S</t>
  </si>
  <si>
    <t>Colorimetry</t>
  </si>
  <si>
    <t>Facility T</t>
  </si>
  <si>
    <t>Facility U</t>
  </si>
  <si>
    <t>Facility V</t>
  </si>
  <si>
    <t>Facility W</t>
  </si>
  <si>
    <t>Facility X</t>
  </si>
  <si>
    <t>Facility Y</t>
  </si>
  <si>
    <t>Facility Z</t>
  </si>
  <si>
    <t>Pleasant Prairie</t>
  </si>
  <si>
    <t>Salem Harbor</t>
  </si>
  <si>
    <t>FIA</t>
  </si>
  <si>
    <t>St. Clair</t>
  </si>
  <si>
    <t>GC</t>
  </si>
  <si>
    <t>GC-FID</t>
  </si>
  <si>
    <t>GC-MS</t>
  </si>
  <si>
    <t>HG-ICP-MS</t>
  </si>
  <si>
    <t>HPLC</t>
  </si>
  <si>
    <t>ICP-USN</t>
  </si>
  <si>
    <t>Potentiometry</t>
  </si>
  <si>
    <t>Titrimetry</t>
  </si>
  <si>
    <t xml:space="preserve">Material Replicate </t>
  </si>
  <si>
    <t xml:space="preserve">CCR Category </t>
  </si>
  <si>
    <t xml:space="preserve">Fly Ash Type </t>
  </si>
  <si>
    <t xml:space="preserve">Residue Handling </t>
  </si>
  <si>
    <t xml:space="preserve">Citation </t>
  </si>
  <si>
    <t xml:space="preserve">Coal Type </t>
  </si>
  <si>
    <t xml:space="preserve">Coal Region  </t>
  </si>
  <si>
    <t xml:space="preserve">Facility  </t>
  </si>
  <si>
    <t xml:space="preserve">Facility Description </t>
  </si>
  <si>
    <t xml:space="preserve">Particulate Capture </t>
  </si>
  <si>
    <t xml:space="preserve">Scrubber Type </t>
  </si>
  <si>
    <t xml:space="preserve">FGD Scrubber Additive </t>
  </si>
  <si>
    <r>
      <t>NO</t>
    </r>
    <r>
      <rPr>
        <vertAlign val="subscript"/>
        <sz val="11"/>
        <color theme="1"/>
        <rFont val="Calibri"/>
        <family val="2"/>
        <scheme val="minor"/>
      </rPr>
      <t>x</t>
    </r>
    <r>
      <rPr>
        <sz val="11"/>
        <color theme="1"/>
        <rFont val="Calibri"/>
        <family val="2"/>
        <scheme val="minor"/>
      </rPr>
      <t xml:space="preserve"> Control </t>
    </r>
  </si>
  <si>
    <r>
      <t>SO</t>
    </r>
    <r>
      <rPr>
        <vertAlign val="subscript"/>
        <sz val="11"/>
        <color theme="1"/>
        <rFont val="Calibri"/>
        <family val="2"/>
        <scheme val="minor"/>
      </rPr>
      <t>3</t>
    </r>
    <r>
      <rPr>
        <sz val="11"/>
        <color theme="1"/>
        <rFont val="Calibri"/>
        <family val="2"/>
        <scheme val="minor"/>
      </rPr>
      <t xml:space="preserve"> Control </t>
    </r>
  </si>
  <si>
    <t xml:space="preserve">Name of Database </t>
  </si>
  <si>
    <t>Test Conditions</t>
  </si>
  <si>
    <r>
      <t xml:space="preserve"> </t>
    </r>
    <r>
      <rPr>
        <sz val="11"/>
        <color theme="1"/>
        <rFont val="Calibri"/>
        <family val="2"/>
      </rPr>
      <t>°</t>
    </r>
    <r>
      <rPr>
        <sz val="11"/>
        <color theme="1"/>
        <rFont val="Calibri"/>
        <family val="2"/>
        <scheme val="minor"/>
      </rPr>
      <t>C</t>
    </r>
  </si>
  <si>
    <t xml:space="preserve">Eluant Composition </t>
  </si>
  <si>
    <t xml:space="preserve">Temperature </t>
  </si>
  <si>
    <t>Starting</t>
  </si>
  <si>
    <t>Temp.</t>
  </si>
  <si>
    <t>Atmospheric dust</t>
  </si>
  <si>
    <t>Bottom Ash</t>
  </si>
  <si>
    <t>Fly Ash</t>
  </si>
  <si>
    <t>FGD gypsum (unwashed)</t>
  </si>
  <si>
    <t>FGD gypsum (washed)</t>
  </si>
  <si>
    <t>Scrubber Sludge</t>
  </si>
  <si>
    <t>Asphalt</t>
  </si>
  <si>
    <t>Treated wood</t>
  </si>
  <si>
    <t>Biomass</t>
  </si>
  <si>
    <t>Compost</t>
  </si>
  <si>
    <r>
      <t>LeachXS</t>
    </r>
    <r>
      <rPr>
        <vertAlign val="superscript"/>
        <sz val="11"/>
        <color indexed="8"/>
        <rFont val="Calibri"/>
        <family val="2"/>
      </rPr>
      <t>TM</t>
    </r>
    <r>
      <rPr>
        <sz val="11"/>
        <color theme="1"/>
        <rFont val="Calibri"/>
        <family val="2"/>
        <scheme val="minor"/>
      </rPr>
      <t xml:space="preserve"> Lite Upload: </t>
    </r>
  </si>
  <si>
    <t xml:space="preserve">Material Subclass </t>
  </si>
  <si>
    <t xml:space="preserve">Material Classification </t>
  </si>
  <si>
    <t xml:space="preserve">Analytical Lab Name </t>
  </si>
  <si>
    <t>Liquid-Soild Partitioning as a Function of Liquid-Solid Ratio in a Column Test</t>
  </si>
  <si>
    <t>Ammonia</t>
  </si>
  <si>
    <t>NH3</t>
  </si>
  <si>
    <t>QA/QC</t>
  </si>
  <si>
    <t xml:space="preserve">Moisture Content (MC) [g-water/g] </t>
  </si>
  <si>
    <t xml:space="preserve">Solids Content (SC) [g-dry/g] </t>
  </si>
  <si>
    <t>Phosphorus</t>
  </si>
  <si>
    <t>P</t>
  </si>
  <si>
    <t>Sulfur</t>
  </si>
  <si>
    <t>S</t>
  </si>
  <si>
    <t>WORKBOOK OVERVIEW</t>
  </si>
  <si>
    <t>EPA METHOD 1314</t>
  </si>
  <si>
    <t xml:space="preserve">Eluant </t>
  </si>
  <si>
    <t xml:space="preserve">Bed Diameter </t>
  </si>
  <si>
    <t>ELUATE COMPOSITION</t>
  </si>
  <si>
    <r>
      <rPr>
        <sz val="11"/>
        <color theme="1"/>
        <rFont val="Wingdings"/>
        <charset val="2"/>
      </rPr>
      <t>ê</t>
    </r>
    <r>
      <rPr>
        <sz val="11"/>
        <color theme="1"/>
        <rFont val="Calibri"/>
        <family val="2"/>
        <scheme val="minor"/>
      </rPr>
      <t xml:space="preserve"> indicates drop down menu with data validation</t>
    </r>
  </si>
  <si>
    <r>
      <t xml:space="preserve">Analysis Method </t>
    </r>
    <r>
      <rPr>
        <b/>
        <sz val="11"/>
        <color rgb="FFC00000"/>
        <rFont val="Wingdings"/>
        <charset val="2"/>
      </rPr>
      <t>ê</t>
    </r>
  </si>
  <si>
    <t>Metals and Metalloids</t>
  </si>
  <si>
    <t>Anions and Carbon</t>
  </si>
  <si>
    <t>Silver</t>
  </si>
  <si>
    <t>Ag</t>
  </si>
  <si>
    <t>METHOD 1313 LeachXS Lite Data Template</t>
  </si>
  <si>
    <r>
      <t xml:space="preserve">WARNING:  </t>
    </r>
    <r>
      <rPr>
        <sz val="14"/>
        <color rgb="FF000000"/>
        <rFont val="Calibri"/>
        <family val="2"/>
        <scheme val="minor"/>
      </rPr>
      <t xml:space="preserve">These lists are pre-defined for drop-down menus within the workbook.  </t>
    </r>
  </si>
  <si>
    <t>Altering these lists may render the drop-down menus invalid.</t>
  </si>
  <si>
    <t>MATERIAL LISTS</t>
  </si>
  <si>
    <t>METHOD 1313 LISTS</t>
  </si>
  <si>
    <t>Material Classifications (Material_Class)</t>
  </si>
  <si>
    <t>Acid Types (Acid_Type)</t>
  </si>
  <si>
    <t>Cement &amp; Concrete</t>
  </si>
  <si>
    <t>&lt;unspecified&gt;</t>
  </si>
  <si>
    <t>Coal Combustion</t>
  </si>
  <si>
    <t>Base Types (Base_Type)</t>
  </si>
  <si>
    <t>Industrial Waste</t>
  </si>
  <si>
    <t>Mining</t>
  </si>
  <si>
    <t>Mineral Processing</t>
  </si>
  <si>
    <t>Municipal Waste</t>
  </si>
  <si>
    <t>Nuclear Waste Management</t>
  </si>
  <si>
    <t>METHOD 1314 LISTS</t>
  </si>
  <si>
    <t>Soil &amp; Sediment</t>
  </si>
  <si>
    <t>Eluant Composition (Eluant_Comp)</t>
  </si>
  <si>
    <t>Soil Amendment</t>
  </si>
  <si>
    <t>User Class</t>
  </si>
  <si>
    <t>addtitional entry for user-defined class (replace "User Class" text)</t>
  </si>
  <si>
    <t>DI water</t>
  </si>
  <si>
    <t>Material Subclasses (named ranges according to Material_Class list)</t>
  </si>
  <si>
    <t>Analytical Schemes for Compositing (Composite_Scheme)</t>
  </si>
  <si>
    <t>Not Applicable</t>
  </si>
  <si>
    <t>atmospheric dust samples</t>
  </si>
  <si>
    <t>analysis of all extracts at all L/S targets</t>
  </si>
  <si>
    <t>other air materials</t>
  </si>
  <si>
    <t>analysis of limited extracts at key L/S targets</t>
  </si>
  <si>
    <t>simplified analytical sampling at a few L/S targets</t>
  </si>
  <si>
    <t>Cement_Concrete</t>
  </si>
  <si>
    <t>Concrete</t>
  </si>
  <si>
    <t>Controlled Low-Strength Material</t>
  </si>
  <si>
    <t>METHOD 1315 LISTS</t>
  </si>
  <si>
    <t>Grout</t>
  </si>
  <si>
    <t xml:space="preserve">cement + water + fine aggregate </t>
  </si>
  <si>
    <t>Mass Transport Sample Types (Sample_Type)</t>
  </si>
  <si>
    <t>Mortar</t>
  </si>
  <si>
    <t>cement + water + fine aggregate</t>
  </si>
  <si>
    <t>Paste</t>
  </si>
  <si>
    <t>cement + water samples</t>
  </si>
  <si>
    <t>Granular</t>
  </si>
  <si>
    <t>other cementitious material</t>
  </si>
  <si>
    <t>Monolith</t>
  </si>
  <si>
    <t>Coal_Combustion</t>
  </si>
  <si>
    <t>Sample Geometries (Sample_Geometry)</t>
  </si>
  <si>
    <t>Blended Material</t>
  </si>
  <si>
    <t>coal combustion bottom ash</t>
  </si>
  <si>
    <t>Cylinder</t>
  </si>
  <si>
    <t>FGD Filter Cake</t>
  </si>
  <si>
    <t>FGD dryer filter cake</t>
  </si>
  <si>
    <t>Block</t>
  </si>
  <si>
    <t>FGD Gypsum (unwashed)</t>
  </si>
  <si>
    <t>FGD Gypsum (washed)</t>
  </si>
  <si>
    <t>Face Exposure Scenarios (Sample_Faces)</t>
  </si>
  <si>
    <t>coal combustion fly ash</t>
  </si>
  <si>
    <t>Fixated Scrubber Sludge</t>
  </si>
  <si>
    <t>fixated scrubber sludge</t>
  </si>
  <si>
    <t>axial</t>
  </si>
  <si>
    <t>Fixated Scrubber Sludge w/ Lime</t>
  </si>
  <si>
    <t>fixated scrubber sludge w/lime</t>
  </si>
  <si>
    <t>2-axial</t>
  </si>
  <si>
    <t>Milling Rejects</t>
  </si>
  <si>
    <t>coal milling rejects</t>
  </si>
  <si>
    <t>radial</t>
  </si>
  <si>
    <t>wet scrubber sludge</t>
  </si>
  <si>
    <t>all</t>
  </si>
  <si>
    <t>Spray Dryer Residue w/ Fly Ash</t>
  </si>
  <si>
    <t>GENERIC BATCH LISTS</t>
  </si>
  <si>
    <t>Batch Extraction Tests (Batch_Test)</t>
  </si>
  <si>
    <t>Aggregate</t>
  </si>
  <si>
    <t>gravel, stone, sand, etc.</t>
  </si>
  <si>
    <t>Artificial Aggregate</t>
  </si>
  <si>
    <t>waste derived aggregate</t>
  </si>
  <si>
    <t>asphalt pavement</t>
  </si>
  <si>
    <t>EPA SPLP</t>
  </si>
  <si>
    <t>EPA Method 1312 Synthetic Precipitation Leaching Procedure</t>
  </si>
  <si>
    <t>Brick and Block</t>
  </si>
  <si>
    <t>brick and building block</t>
  </si>
  <si>
    <t>EPA TCLP</t>
  </si>
  <si>
    <t>EPA Method 1311 Toxicity Characteristic Leaching Procedure</t>
  </si>
  <si>
    <t>Construction &amp; Demolition Debris</t>
  </si>
  <si>
    <t>ASTM D3987</t>
  </si>
  <si>
    <t>Standard Test Method for Shake Extraction of Solid Waste with Water</t>
  </si>
  <si>
    <t>Paving Blocks</t>
  </si>
  <si>
    <t>concrete pavers</t>
  </si>
  <si>
    <t>ASTM D4793</t>
  </si>
  <si>
    <t>Standard Test Method for Sequential Batch Extraction of Waste with Water</t>
  </si>
  <si>
    <t>Recycled Concrete Aggregate</t>
  </si>
  <si>
    <t>ASTM D5284</t>
  </si>
  <si>
    <t>Standard Test Method for Sequential Batch Extraction of Waste with Acidic Extraction Fluid</t>
  </si>
  <si>
    <t>Roofing Materials</t>
  </si>
  <si>
    <t>shingles, tiles, etc.</t>
  </si>
  <si>
    <t>ASTM D6234</t>
  </si>
  <si>
    <t>Stanadrd Test Method for Shake Extraction of Mining Waste by SPLP</t>
  </si>
  <si>
    <t>pressure-treated wood</t>
  </si>
  <si>
    <t>EN 12457-2</t>
  </si>
  <si>
    <t>Part II of CEN Compliance Test for Granular Waste Materials and Sludge</t>
  </si>
  <si>
    <t>Wood</t>
  </si>
  <si>
    <t>non-treated wood</t>
  </si>
  <si>
    <t>EN 12457-3</t>
  </si>
  <si>
    <t>Part III of CEN Compliance Test for Granular Waste Materials</t>
  </si>
  <si>
    <t>other building material</t>
  </si>
  <si>
    <t>EN 14870</t>
  </si>
  <si>
    <t>DTPA Extraction (ISO TC 190)</t>
  </si>
  <si>
    <t>EPA EP-Tox</t>
  </si>
  <si>
    <t>EPA Method 1310 Extraction Procedure Toxicity Test</t>
  </si>
  <si>
    <t>EPA MEP</t>
  </si>
  <si>
    <t>EPA Multiple Extraction Procedure</t>
  </si>
  <si>
    <t>Biomass (fuel)</t>
  </si>
  <si>
    <t>biomass used as fuel</t>
  </si>
  <si>
    <t>NEN 7341</t>
  </si>
  <si>
    <t>Dutch Standard Availability Test for Granular Materials</t>
  </si>
  <si>
    <t>Coal</t>
  </si>
  <si>
    <t>coal used as fuel</t>
  </si>
  <si>
    <t>USGS SLM</t>
  </si>
  <si>
    <t>USGS Sequential Leaching Method</t>
  </si>
  <si>
    <t>Peat</t>
  </si>
  <si>
    <t>peat used as fuel</t>
  </si>
  <si>
    <t>other batch extraction test</t>
  </si>
  <si>
    <t>Wood (fuel)</t>
  </si>
  <si>
    <t>wood used as fuel</t>
  </si>
  <si>
    <t>other fuel material</t>
  </si>
  <si>
    <t>Extraction Composition for Generic Batch Test (Extract_Comp)</t>
  </si>
  <si>
    <t>Industrial_Waste</t>
  </si>
  <si>
    <t>Blast Furnace Slag</t>
  </si>
  <si>
    <t>Cement Kiln Dust</t>
  </si>
  <si>
    <t>CaCl2 (1 mM)</t>
  </si>
  <si>
    <t>Foundry Sand</t>
  </si>
  <si>
    <t>acetic acid</t>
  </si>
  <si>
    <t>Electric Arc Furnace Dust</t>
  </si>
  <si>
    <t>ASLP tetraborate (pH=9.2)</t>
  </si>
  <si>
    <t>Industrial Sludge</t>
  </si>
  <si>
    <t>CaCl2</t>
  </si>
  <si>
    <t>Metal Processing Slag</t>
  </si>
  <si>
    <t>Pb/Zn slag, Waelz slag</t>
  </si>
  <si>
    <t>demineralized water</t>
  </si>
  <si>
    <t>Phosphorus Slag</t>
  </si>
  <si>
    <t>DTPA</t>
  </si>
  <si>
    <t>Sand Blasting Waste</t>
  </si>
  <si>
    <t>EDTA</t>
  </si>
  <si>
    <t>Stabilized Waste</t>
  </si>
  <si>
    <t>groundwater</t>
  </si>
  <si>
    <t>Steel Slag</t>
  </si>
  <si>
    <t>local water</t>
  </si>
  <si>
    <t>Wastewater Treatment Sludge</t>
  </si>
  <si>
    <t>seawater</t>
  </si>
  <si>
    <t>other industrial wastes</t>
  </si>
  <si>
    <t>SPLP #1 H2SO4/HNO3 (pH=4.2)</t>
  </si>
  <si>
    <t>SPLP #2 H2SO4/HNO3 (pH=5.0)</t>
  </si>
  <si>
    <t>SPLP #3 DI water</t>
  </si>
  <si>
    <t>APC Residues</t>
  </si>
  <si>
    <t>air pollution control residue</t>
  </si>
  <si>
    <t>surface water</t>
  </si>
  <si>
    <t>Bioreactor Residues</t>
  </si>
  <si>
    <t>bioreactor</t>
  </si>
  <si>
    <t>TCLP #1 Ac/NaOH (pH=4.93)</t>
  </si>
  <si>
    <t>Hazardous Waste</t>
  </si>
  <si>
    <t>hazardous waste</t>
  </si>
  <si>
    <t>TCLP #2 Acetic (pH=2.88)</t>
  </si>
  <si>
    <t>Non-hazardous Waste</t>
  </si>
  <si>
    <t>nonhazardous material</t>
  </si>
  <si>
    <t>other</t>
  </si>
  <si>
    <t>Municipal Solid Waste</t>
  </si>
  <si>
    <t>landfilled material</t>
  </si>
  <si>
    <t>Predominantly Inorganic Waste</t>
  </si>
  <si>
    <t>predominantly inorganic waste</t>
  </si>
  <si>
    <t>stabilized waste</t>
  </si>
  <si>
    <t>TOTAL CONTENT LISTS</t>
  </si>
  <si>
    <t>other landfill material</t>
  </si>
  <si>
    <t>Total Content Extraction/Analysis Methods (Total_Method)</t>
  </si>
  <si>
    <t>Gypsum</t>
  </si>
  <si>
    <t>mined gypsum</t>
  </si>
  <si>
    <t>USEPA 3050B</t>
  </si>
  <si>
    <t>SW-846 acid digestion of sediments, sludges, &amp; soils</t>
  </si>
  <si>
    <t>Mine Tailings</t>
  </si>
  <si>
    <t>USEPA 3051A</t>
  </si>
  <si>
    <t>SW-846 microwave-assisted acid digestion of sediments, sludges, &amp; soils</t>
  </si>
  <si>
    <t>other mining material</t>
  </si>
  <si>
    <t>USEPA 3052B</t>
  </si>
  <si>
    <t>SW-846 microwave-assisted digestion of siliceous and organically based matrices</t>
  </si>
  <si>
    <t>XRFS</t>
  </si>
  <si>
    <t>x-ray fluorescence spectrometry</t>
  </si>
  <si>
    <t>Mineral_Processing</t>
  </si>
  <si>
    <t>aqua regia</t>
  </si>
  <si>
    <t>37% HCL + 65% HNO3</t>
  </si>
  <si>
    <t>Phosphogypsum</t>
  </si>
  <si>
    <t>residue from fertilizer production</t>
  </si>
  <si>
    <t>H2SO4</t>
  </si>
  <si>
    <t>Red Mud</t>
  </si>
  <si>
    <t>residue from bauxite refining</t>
  </si>
  <si>
    <t>HF acid mix</t>
  </si>
  <si>
    <t>Hydrofluoric Acid</t>
  </si>
  <si>
    <t>other mineral processing material</t>
  </si>
  <si>
    <t>HF + aqua regia</t>
  </si>
  <si>
    <t>Nitric Acid Digestion</t>
  </si>
  <si>
    <t>Municipal_Waste</t>
  </si>
  <si>
    <t>IHSS procedure</t>
  </si>
  <si>
    <t>for Humic &amp; Fulvic Acids</t>
  </si>
  <si>
    <t>APC residue (MSWI)</t>
  </si>
  <si>
    <t>MSWI air pollution control residue</t>
  </si>
  <si>
    <t>inert carbon</t>
  </si>
  <si>
    <t>Bottom Ash (MSWI)</t>
  </si>
  <si>
    <t>MSWI bottom ash</t>
  </si>
  <si>
    <t>LiBO3 melt</t>
  </si>
  <si>
    <t>Fly Ash (MSWI)</t>
  </si>
  <si>
    <t>MSWI fly ash</t>
  </si>
  <si>
    <t>neutron activation analysis</t>
  </si>
  <si>
    <t>Neutron Activation Analysis</t>
  </si>
  <si>
    <t>as produced</t>
  </si>
  <si>
    <t>NEN 7348 redox capacity</t>
  </si>
  <si>
    <t>Sewage Sludge</t>
  </si>
  <si>
    <t>raw sewage sludge</t>
  </si>
  <si>
    <t>S1 aqua regia</t>
  </si>
  <si>
    <t>LiBO4 melt and aqua regia</t>
  </si>
  <si>
    <t>other MSW material</t>
  </si>
  <si>
    <t>XRD</t>
  </si>
  <si>
    <t>x-ray diffraction</t>
  </si>
  <si>
    <t>Other total analysis method</t>
  </si>
  <si>
    <t>LAW Stabilized Waste</t>
  </si>
  <si>
    <t>Cast Stone, Saltstone, etc.</t>
  </si>
  <si>
    <t>Vault Concrete</t>
  </si>
  <si>
    <t>concretes used to contain wastes</t>
  </si>
  <si>
    <t>ALL METHODS LISTS</t>
  </si>
  <si>
    <t>Tank Closure Grout</t>
  </si>
  <si>
    <t>grouts used to cap waste tanks</t>
  </si>
  <si>
    <t>Analytical Methods for all Tests (Analytical_Method)</t>
  </si>
  <si>
    <t>other material</t>
  </si>
  <si>
    <t>Soil_Sediment</t>
  </si>
  <si>
    <t>EPA 6010C (ICP-AES)</t>
  </si>
  <si>
    <t>USEPA SW-846 Method 6010C – ICP-AES/ICP-OES</t>
  </si>
  <si>
    <t>Amended Soil</t>
  </si>
  <si>
    <t>soil with amendment</t>
  </si>
  <si>
    <t>EPA 6020A (ICP-MS)</t>
  </si>
  <si>
    <t>USEPA SW-846 Method 6020A – ICP-MS</t>
  </si>
  <si>
    <t>Sediment (clean)</t>
  </si>
  <si>
    <t>nominally clean sediment</t>
  </si>
  <si>
    <t>EPA 6200 (XRF)</t>
  </si>
  <si>
    <t>USEPA SW-846 Method 6200 – field portable x-ray fluorescence</t>
  </si>
  <si>
    <t>Sediment (contaminated)</t>
  </si>
  <si>
    <t>EPA 7470A (Hg CVAA)</t>
  </si>
  <si>
    <t>USEPA SW-846 Method 7470A – Hg by cold vapor atomic spectrometry</t>
  </si>
  <si>
    <t>Soil (clean)</t>
  </si>
  <si>
    <t>nominally clean soil</t>
  </si>
  <si>
    <t>EPA 7473 (Hg TD)</t>
  </si>
  <si>
    <t>USEPA SW-846 Method 7473 – Hg by thermal decomposition</t>
  </si>
  <si>
    <t>Soil (contaminated)</t>
  </si>
  <si>
    <t>EPA 7474 (Hg AFS)</t>
  </si>
  <si>
    <t>USEPA SW-846 Method 7474 – Hg by atomic fluorescence spectrometry</t>
  </si>
  <si>
    <t>Stabilized Soil</t>
  </si>
  <si>
    <t>cement stabilized soil</t>
  </si>
  <si>
    <t>flame atomic absorption spectrometry</t>
  </si>
  <si>
    <t>other soil and sediment material</t>
  </si>
  <si>
    <t>graphite furnace atomic absorption spectrometry</t>
  </si>
  <si>
    <t>AAS-HG</t>
  </si>
  <si>
    <t>atomic absorption spectrometry – hydride generation</t>
  </si>
  <si>
    <t>Soil_Amendment</t>
  </si>
  <si>
    <t>CVAAS</t>
  </si>
  <si>
    <t>cold vapor atomic absorption spectrometry</t>
  </si>
  <si>
    <t>flow injection analysis</t>
  </si>
  <si>
    <t>Inorganic Amendment</t>
  </si>
  <si>
    <t>CCR gypsum, red mud additives</t>
  </si>
  <si>
    <r>
      <t>g</t>
    </r>
    <r>
      <rPr>
        <sz val="10"/>
        <color theme="1"/>
        <rFont val="Calibri"/>
        <family val="2"/>
        <scheme val="minor"/>
      </rPr>
      <t xml:space="preserve"> Spec</t>
    </r>
  </si>
  <si>
    <t>gamma spectrometry</t>
  </si>
  <si>
    <t>Treated Sewage Sludge</t>
  </si>
  <si>
    <t>gas chromatography</t>
  </si>
  <si>
    <t>other soil amendment</t>
  </si>
  <si>
    <t>gas chromatography – flame ionization detection</t>
  </si>
  <si>
    <t>gas chromatography – mass spectrometry</t>
  </si>
  <si>
    <t>User_Class</t>
  </si>
  <si>
    <t>ICP-MS with hydride generation</t>
  </si>
  <si>
    <t>Subclass A</t>
  </si>
  <si>
    <t>additional subclass for User Class (replace "Subclass A" text)</t>
  </si>
  <si>
    <t>high performance liquid chromatography</t>
  </si>
  <si>
    <t>Subclass B</t>
  </si>
  <si>
    <t>additional subclass for User Class (replace "Subclass B" text)</t>
  </si>
  <si>
    <t>ion chromatography</t>
  </si>
  <si>
    <t>Subclass C</t>
  </si>
  <si>
    <t>additional subclass for User Class (replace "Subclass C" text)</t>
  </si>
  <si>
    <t>IC-ICP-MS</t>
  </si>
  <si>
    <t>ion chromatography – ICP-MS</t>
  </si>
  <si>
    <t>Subclass D</t>
  </si>
  <si>
    <t>additional subclass for User Class (replace "Subclass D" text)</t>
  </si>
  <si>
    <t>ICP-AES/ICP-OES</t>
  </si>
  <si>
    <t>inductively coupled plasma – emissions spectrometry</t>
  </si>
  <si>
    <t>inductively coupled plasma – mass spectrometry</t>
  </si>
  <si>
    <t>inductively coupled plasma – ultrasonic nebulization</t>
  </si>
  <si>
    <t>ion selective electrode</t>
  </si>
  <si>
    <t>TC</t>
  </si>
  <si>
    <t>total carbon analysis</t>
  </si>
  <si>
    <t>total organic carbon analysis</t>
  </si>
  <si>
    <t>Total CN</t>
  </si>
  <si>
    <t>total cyanide analysis</t>
  </si>
  <si>
    <t>UV Spec</t>
  </si>
  <si>
    <t>ultra-violet spectrometry</t>
  </si>
  <si>
    <t>X-ray fluorescence spectrometry</t>
  </si>
  <si>
    <t>other analysis method</t>
  </si>
  <si>
    <t>ê</t>
  </si>
  <si>
    <r>
      <rPr>
        <b/>
        <sz val="11"/>
        <color rgb="FFC00000"/>
        <rFont val="Symbol"/>
        <family val="1"/>
        <charset val="2"/>
      </rPr>
      <t>S</t>
    </r>
    <r>
      <rPr>
        <b/>
        <sz val="11"/>
        <color rgb="FFC00000"/>
        <rFont val="Calibri"/>
        <family val="2"/>
        <scheme val="minor"/>
      </rPr>
      <t xml:space="preserve"> Eluate</t>
    </r>
  </si>
  <si>
    <r>
      <rPr>
        <b/>
        <sz val="11"/>
        <color rgb="FFC00000"/>
        <rFont val="Symbol"/>
        <family val="1"/>
        <charset val="2"/>
      </rPr>
      <t>S</t>
    </r>
    <r>
      <rPr>
        <b/>
        <sz val="11"/>
        <color rgb="FFC00000"/>
        <rFont val="Calibri"/>
        <family val="2"/>
        <scheme val="minor"/>
      </rPr>
      <t>LS Ratio</t>
    </r>
  </si>
  <si>
    <r>
      <rPr>
        <sz val="11"/>
        <rFont val="Calibri"/>
        <family val="2"/>
      </rPr>
      <t>°</t>
    </r>
    <r>
      <rPr>
        <sz val="11"/>
        <rFont val="Calibri"/>
        <family val="2"/>
        <scheme val="minor"/>
      </rPr>
      <t>C</t>
    </r>
  </si>
  <si>
    <r>
      <t>gH</t>
    </r>
    <r>
      <rPr>
        <vertAlign val="subscript"/>
        <sz val="11"/>
        <rFont val="Calibri"/>
        <family val="2"/>
      </rPr>
      <t>2</t>
    </r>
    <r>
      <rPr>
        <sz val="11"/>
        <rFont val="Calibri"/>
        <family val="2"/>
      </rPr>
      <t>O/g</t>
    </r>
  </si>
  <si>
    <t>METHOD 1314 LeachXSTM Lite Data Template</t>
  </si>
  <si>
    <t xml:space="preserve"> Residue Description</t>
  </si>
  <si>
    <t xml:space="preserve">  LeachXS Information</t>
  </si>
  <si>
    <t>Source Description</t>
  </si>
  <si>
    <t>Process Description</t>
  </si>
  <si>
    <r>
      <rPr>
        <sz val="11"/>
        <color theme="1"/>
        <rFont val="Wingdings"/>
        <charset val="2"/>
      </rPr>
      <t>ê</t>
    </r>
    <r>
      <rPr>
        <sz val="11"/>
        <color theme="1"/>
        <rFont val="Calibri"/>
        <family val="2"/>
        <scheme val="minor"/>
      </rPr>
      <t xml:space="preserve">  indicates a drop down menu with data validation.</t>
    </r>
  </si>
  <si>
    <t>METHOD 1314 LeachXS Lite Data Template</t>
  </si>
  <si>
    <t>A-rerun</t>
  </si>
  <si>
    <t>METHOD 1314 ANALYTICAL DATA</t>
  </si>
  <si>
    <t>Rep A</t>
  </si>
  <si>
    <r>
      <t xml:space="preserve"> cm</t>
    </r>
    <r>
      <rPr>
        <vertAlign val="superscript"/>
        <sz val="11"/>
        <rFont val="Calibri"/>
        <family val="2"/>
        <scheme val="minor"/>
      </rPr>
      <t>3</t>
    </r>
  </si>
  <si>
    <t xml:space="preserve">Dish + "Wet" Sample [g] </t>
  </si>
  <si>
    <t xml:space="preserve">Dish + "Dry" Sample [g] </t>
  </si>
  <si>
    <t xml:space="preserve">Check (Dish + "Dry" Sample) [g] </t>
  </si>
  <si>
    <t>METHOD 1314 LAB DATA</t>
  </si>
  <si>
    <t>Reporting Limit (RL)</t>
  </si>
  <si>
    <r>
      <t xml:space="preserve">Type of RL </t>
    </r>
    <r>
      <rPr>
        <b/>
        <sz val="11"/>
        <color rgb="FFC00000"/>
        <rFont val="Wingdings"/>
        <charset val="2"/>
      </rPr>
      <t>ê</t>
    </r>
    <r>
      <rPr>
        <b/>
        <sz val="11"/>
        <color rgb="FFC00000"/>
        <rFont val="Calibri"/>
        <family val="2"/>
        <scheme val="minor"/>
      </rPr>
      <t xml:space="preserve"> </t>
    </r>
  </si>
  <si>
    <t xml:space="preserve">Full Name </t>
  </si>
  <si>
    <t xml:space="preserve">Particle Size (85 wt% less than) </t>
  </si>
  <si>
    <t xml:space="preserve"> mm</t>
  </si>
  <si>
    <t>TYPE OF REPORTING LIMIT</t>
  </si>
  <si>
    <t>LLOQ</t>
  </si>
  <si>
    <t>Lower Limit of Quantitation</t>
  </si>
  <si>
    <t>ML</t>
  </si>
  <si>
    <t>Method Limit</t>
  </si>
  <si>
    <t>PQL</t>
  </si>
  <si>
    <t>Practical Quantitation Limit</t>
  </si>
  <si>
    <t>Method Detection Limit (MDL)</t>
  </si>
  <si>
    <t xml:space="preserve">L/S Rate </t>
  </si>
  <si>
    <t xml:space="preserve"> L/S per day</t>
  </si>
  <si>
    <t xml:space="preserve"> day</t>
  </si>
  <si>
    <t xml:space="preserve"> mL/day</t>
  </si>
  <si>
    <t xml:space="preserve">Average Flow Rate [mL/day] </t>
  </si>
  <si>
    <t>[mL/day]</t>
  </si>
  <si>
    <t>Calc'd</t>
  </si>
  <si>
    <r>
      <rPr>
        <b/>
        <sz val="11"/>
        <rFont val="Symbol"/>
        <family val="1"/>
        <charset val="2"/>
      </rPr>
      <t>S</t>
    </r>
    <r>
      <rPr>
        <b/>
        <sz val="11"/>
        <rFont val="Calibri"/>
        <family val="2"/>
        <scheme val="minor"/>
      </rPr>
      <t>L/S</t>
    </r>
  </si>
  <si>
    <r>
      <t xml:space="preserve"> First 10 mL sample - compare pH to T01 pH and combine eluants if </t>
    </r>
    <r>
      <rPr>
        <sz val="11"/>
        <rFont val="Calibri"/>
        <family val="2"/>
      </rPr>
      <t>± 0.5</t>
    </r>
  </si>
  <si>
    <t>Sum L/S</t>
  </si>
  <si>
    <r>
      <t>(</t>
    </r>
    <r>
      <rPr>
        <b/>
        <sz val="11"/>
        <rFont val="Symbol"/>
        <family val="1"/>
        <charset val="2"/>
      </rPr>
      <t>S</t>
    </r>
    <r>
      <rPr>
        <b/>
        <sz val="11"/>
        <rFont val="Calibri"/>
        <family val="2"/>
        <scheme val="minor"/>
      </rPr>
      <t xml:space="preserve">L/S) </t>
    </r>
  </si>
  <si>
    <t xml:space="preserve">Origin/Reference </t>
  </si>
  <si>
    <t xml:space="preserve">Description </t>
  </si>
  <si>
    <r>
      <t>LeachXS</t>
    </r>
    <r>
      <rPr>
        <b/>
        <vertAlign val="superscript"/>
        <sz val="14"/>
        <color rgb="FFC00000"/>
        <rFont val="Calibri"/>
        <family val="2"/>
        <scheme val="minor"/>
      </rPr>
      <t>TM</t>
    </r>
    <r>
      <rPr>
        <b/>
        <sz val="14"/>
        <color rgb="FFC00000"/>
        <rFont val="Calibri"/>
        <family val="2"/>
        <scheme val="minor"/>
      </rPr>
      <t xml:space="preserve"> Lite</t>
    </r>
    <r>
      <rPr>
        <b/>
        <sz val="14"/>
        <color rgb="FFC00000"/>
        <rFont val="Calibri"/>
        <family val="2"/>
      </rPr>
      <t xml:space="preserve"> Data Template - Version 4.2, September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</si>
</sst>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
    <numFmt numFmtId="165" formatCode="0.000"/>
    <numFmt numFmtId="166" formatCode="[$-409]m/d/yy\ h:mm\ AM/PM;@"/>
    <numFmt numFmtId="167" formatCode="#,##0.0"/>
    <numFmt numFmtId="168" formatCode="[$-409]dd\-mmm\-yy;@"/>
    <numFmt numFmtId="169" formatCode="[$-409]d\-mmm\-yy;@"/>
  </numFmts>
  <fonts count="60" x14ac:knownFonts="1">
    <font>
      <sz val="11"/>
      <color theme="1"/>
      <name val="Calibri"/>
      <family val="2"/>
      <scheme val="minor"/>
    </font>
    <font>
      <sz val="11"/>
      <name val="Calibri"/>
      <family val="2"/>
    </font>
    <font>
      <vertAlign val="superscript"/>
      <sz val="11"/>
      <color indexed="8"/>
      <name val="Calibri"/>
      <family val="2"/>
    </font>
    <font>
      <vertAlign val="subscript"/>
      <sz val="11"/>
      <name val="Calibri"/>
      <family val="2"/>
    </font>
    <font>
      <vertAlign val="superscript"/>
      <sz val="11"/>
      <name val="Calibri"/>
      <family val="2"/>
    </font>
    <font>
      <b/>
      <vertAlign val="subscript"/>
      <sz val="11"/>
      <name val="Calibri"/>
      <family val="2"/>
    </font>
    <font>
      <b/>
      <sz val="11"/>
      <name val="Calibri"/>
      <family val="2"/>
    </font>
    <font>
      <b/>
      <vertAlign val="superscript"/>
      <sz val="11"/>
      <name val="Calibri"/>
      <family val="2"/>
    </font>
    <font>
      <sz val="10"/>
      <name val="Arial"/>
      <family val="2"/>
    </font>
    <font>
      <b/>
      <sz val="11"/>
      <color theme="3"/>
      <name val="Calibri"/>
      <family val="2"/>
      <scheme val="minor"/>
    </font>
    <font>
      <b/>
      <sz val="11"/>
      <color theme="1"/>
      <name val="Calibri"/>
      <family val="2"/>
      <scheme val="minor"/>
    </font>
    <font>
      <b/>
      <sz val="11"/>
      <color indexed="12"/>
      <name val="Calibri"/>
      <family val="2"/>
      <scheme val="minor"/>
    </font>
    <font>
      <sz val="11"/>
      <name val="Calibri"/>
      <family val="2"/>
      <scheme val="minor"/>
    </font>
    <font>
      <b/>
      <sz val="11"/>
      <name val="Calibri"/>
      <family val="2"/>
      <scheme val="minor"/>
    </font>
    <font>
      <b/>
      <sz val="11"/>
      <color indexed="10"/>
      <name val="Calibri"/>
      <family val="2"/>
      <scheme val="minor"/>
    </font>
    <font>
      <sz val="11"/>
      <color indexed="10"/>
      <name val="Calibri"/>
      <family val="2"/>
      <scheme val="minor"/>
    </font>
    <font>
      <sz val="11"/>
      <color rgb="FFC00000"/>
      <name val="Calibri"/>
      <family val="2"/>
      <scheme val="minor"/>
    </font>
    <font>
      <sz val="11"/>
      <color theme="3"/>
      <name val="Calibri"/>
      <family val="2"/>
      <scheme val="minor"/>
    </font>
    <font>
      <b/>
      <sz val="16"/>
      <color rgb="FFC00000"/>
      <name val="Calibri"/>
      <family val="2"/>
      <scheme val="minor"/>
    </font>
    <font>
      <b/>
      <sz val="12"/>
      <color theme="3"/>
      <name val="Calibri"/>
      <family val="2"/>
      <scheme val="minor"/>
    </font>
    <font>
      <b/>
      <sz val="12"/>
      <color theme="1"/>
      <name val="Calibri"/>
      <family val="2"/>
      <scheme val="minor"/>
    </font>
    <font>
      <sz val="12"/>
      <color theme="1"/>
      <name val="Calibri"/>
      <family val="2"/>
      <scheme val="minor"/>
    </font>
    <font>
      <b/>
      <sz val="11"/>
      <color rgb="FFC00000"/>
      <name val="Calibri"/>
      <family val="2"/>
      <scheme val="minor"/>
    </font>
    <font>
      <b/>
      <sz val="14"/>
      <color rgb="FFC00000"/>
      <name val="Calibri"/>
      <family val="2"/>
      <scheme val="minor"/>
    </font>
    <font>
      <b/>
      <sz val="12"/>
      <color rgb="FFC00000"/>
      <name val="Calibri"/>
      <family val="2"/>
      <scheme val="minor"/>
    </font>
    <font>
      <sz val="11"/>
      <color indexed="17"/>
      <name val="Calibri"/>
      <family val="2"/>
      <scheme val="minor"/>
    </font>
    <font>
      <sz val="11"/>
      <color theme="1"/>
      <name val="Arial"/>
      <family val="2"/>
    </font>
    <font>
      <sz val="11"/>
      <color theme="1"/>
      <name val="Webdings"/>
      <family val="1"/>
      <charset val="2"/>
    </font>
    <font>
      <sz val="10"/>
      <color theme="1"/>
      <name val="Times New Roman"/>
      <family val="1"/>
    </font>
    <font>
      <u/>
      <sz val="11"/>
      <color theme="1"/>
      <name val="Arial"/>
      <family val="2"/>
    </font>
    <font>
      <sz val="11"/>
      <color theme="1"/>
      <name val="Symbol"/>
      <family val="1"/>
      <charset val="2"/>
    </font>
    <font>
      <sz val="11"/>
      <color theme="1"/>
      <name val="Times New Roman"/>
      <family val="1"/>
    </font>
    <font>
      <sz val="10"/>
      <color indexed="8"/>
      <name val="Arial"/>
      <family val="2"/>
    </font>
    <font>
      <sz val="11"/>
      <color indexed="8"/>
      <name val="Calibri"/>
      <family val="2"/>
      <scheme val="minor"/>
    </font>
    <font>
      <sz val="11"/>
      <color indexed="60"/>
      <name val="Calibri"/>
      <family val="2"/>
    </font>
    <font>
      <i/>
      <sz val="11"/>
      <color theme="1"/>
      <name val="Calibri"/>
      <family val="2"/>
      <scheme val="minor"/>
    </font>
    <font>
      <b/>
      <sz val="14"/>
      <color rgb="FFC00000"/>
      <name val="Calibri"/>
      <family val="2"/>
    </font>
    <font>
      <b/>
      <i/>
      <sz val="11"/>
      <color theme="1"/>
      <name val="Calibri"/>
      <family val="2"/>
      <scheme val="minor"/>
    </font>
    <font>
      <i/>
      <sz val="11"/>
      <name val="Calibri"/>
      <family val="2"/>
      <scheme val="minor"/>
    </font>
    <font>
      <vertAlign val="subscript"/>
      <sz val="11"/>
      <color theme="1"/>
      <name val="Calibri"/>
      <family val="2"/>
      <scheme val="minor"/>
    </font>
    <font>
      <b/>
      <vertAlign val="superscript"/>
      <sz val="14"/>
      <color rgb="FFC00000"/>
      <name val="Calibri"/>
      <family val="2"/>
      <scheme val="minor"/>
    </font>
    <font>
      <sz val="11"/>
      <color theme="1"/>
      <name val="Calibri"/>
      <family val="2"/>
    </font>
    <font>
      <sz val="11"/>
      <color theme="1"/>
      <name val="Calibri"/>
      <family val="2"/>
      <scheme val="minor"/>
    </font>
    <font>
      <sz val="11"/>
      <color theme="1"/>
      <name val="Wingdings"/>
      <charset val="2"/>
    </font>
    <font>
      <b/>
      <sz val="11"/>
      <color rgb="FFC00000"/>
      <name val="Wingdings"/>
      <charset val="2"/>
    </font>
    <font>
      <b/>
      <sz val="14"/>
      <color rgb="FF000000"/>
      <name val="Calibri"/>
      <family val="2"/>
      <scheme val="minor"/>
    </font>
    <font>
      <sz val="14"/>
      <color rgb="FF000000"/>
      <name val="Calibri"/>
      <family val="2"/>
      <scheme val="minor"/>
    </font>
    <font>
      <sz val="14"/>
      <color theme="1"/>
      <name val="Calibri"/>
      <family val="2"/>
      <scheme val="minor"/>
    </font>
    <font>
      <b/>
      <i/>
      <sz val="11"/>
      <name val="Calibri"/>
      <family val="2"/>
      <scheme val="minor"/>
    </font>
    <font>
      <i/>
      <sz val="11"/>
      <color indexed="8"/>
      <name val="Calibri"/>
      <family val="2"/>
      <scheme val="minor"/>
    </font>
    <font>
      <i/>
      <sz val="11"/>
      <color rgb="FF333333"/>
      <name val="Calibri"/>
      <family val="2"/>
      <scheme val="minor"/>
    </font>
    <font>
      <sz val="10"/>
      <color theme="1"/>
      <name val="Calibri"/>
      <family val="2"/>
      <scheme val="minor"/>
    </font>
    <font>
      <b/>
      <sz val="11"/>
      <color rgb="FFC00000"/>
      <name val="Symbol"/>
      <family val="1"/>
      <charset val="2"/>
    </font>
    <font>
      <vertAlign val="superscript"/>
      <sz val="11"/>
      <name val="Calibri"/>
      <family val="2"/>
      <scheme val="minor"/>
    </font>
    <font>
      <b/>
      <sz val="8"/>
      <color indexed="81"/>
      <name val="Tahoma"/>
      <family val="2"/>
    </font>
    <font>
      <sz val="8"/>
      <color indexed="81"/>
      <name val="Tahoma"/>
      <family val="2"/>
    </font>
    <font>
      <sz val="11"/>
      <color rgb="FFC00000"/>
      <name val="Wingdings"/>
      <charset val="2"/>
    </font>
    <font>
      <vertAlign val="superscript"/>
      <sz val="8"/>
      <color indexed="81"/>
      <name val="Tahoma"/>
      <family val="2"/>
    </font>
    <font>
      <sz val="8"/>
      <color indexed="81"/>
      <name val="Calibri"/>
      <family val="2"/>
    </font>
    <font>
      <b/>
      <sz val="11"/>
      <name val="Symbol"/>
      <family val="1"/>
      <charset val="2"/>
    </font>
  </fonts>
  <fills count="1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indexed="43"/>
      </patternFill>
    </fill>
    <fill>
      <patternFill patternType="solid">
        <fgColor rgb="FFFFC000"/>
        <bgColor indexed="64"/>
      </patternFill>
    </fill>
    <fill>
      <patternFill patternType="solid">
        <fgColor rgb="FFC0C0C0"/>
        <bgColor indexed="64"/>
      </patternFill>
    </fill>
    <fill>
      <patternFill patternType="solid">
        <fgColor theme="0" tint="-0.34998626667073579"/>
        <bgColor indexed="64"/>
      </patternFill>
    </fill>
    <fill>
      <patternFill patternType="solid">
        <fgColor theme="8" tint="0.79998168889431442"/>
        <bgColor indexed="64"/>
      </patternFill>
    </fill>
  </fills>
  <borders count="9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double">
        <color indexed="64"/>
      </top>
      <bottom style="thin">
        <color theme="0" tint="-0.34998626667073579"/>
      </bottom>
      <diagonal/>
    </border>
    <border>
      <left style="thin">
        <color indexed="64"/>
      </left>
      <right/>
      <top style="double">
        <color indexed="64"/>
      </top>
      <bottom style="thin">
        <color theme="0" tint="-0.34998626667073579"/>
      </bottom>
      <diagonal/>
    </border>
    <border>
      <left/>
      <right/>
      <top style="double">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style="medium">
        <color rgb="FFBFBFBF"/>
      </right>
      <top style="double">
        <color indexed="64"/>
      </top>
      <bottom style="medium">
        <color indexed="64"/>
      </bottom>
      <diagonal/>
    </border>
    <border>
      <left/>
      <right/>
      <top style="double">
        <color indexed="64"/>
      </top>
      <bottom style="medium">
        <color indexed="64"/>
      </bottom>
      <diagonal/>
    </border>
    <border>
      <left style="medium">
        <color rgb="FFBFBFBF"/>
      </left>
      <right/>
      <top style="double">
        <color indexed="64"/>
      </top>
      <bottom style="medium">
        <color indexed="64"/>
      </bottom>
      <diagonal/>
    </border>
    <border>
      <left/>
      <right style="medium">
        <color rgb="FFBFBFBF"/>
      </right>
      <top/>
      <bottom/>
      <diagonal/>
    </border>
    <border>
      <left/>
      <right style="medium">
        <color rgb="FFBFBFBF"/>
      </right>
      <top/>
      <bottom style="medium">
        <color rgb="FFBFBFBF"/>
      </bottom>
      <diagonal/>
    </border>
    <border>
      <left/>
      <right/>
      <top/>
      <bottom style="medium">
        <color rgb="FFBFBFBF"/>
      </bottom>
      <diagonal/>
    </border>
    <border>
      <left/>
      <right style="medium">
        <color rgb="FFBFBFBF"/>
      </right>
      <top/>
      <bottom style="double">
        <color indexed="64"/>
      </bottom>
      <diagonal/>
    </border>
    <border>
      <left/>
      <right style="medium">
        <color rgb="FFBFBFBF"/>
      </right>
      <top style="medium">
        <color rgb="FFBFBFBF"/>
      </top>
      <bottom style="double">
        <color indexed="64"/>
      </bottom>
      <diagonal/>
    </border>
    <border>
      <left style="medium">
        <color rgb="FFBFBFBF"/>
      </left>
      <right/>
      <top/>
      <bottom style="double">
        <color indexed="64"/>
      </bottom>
      <diagonal/>
    </border>
    <border>
      <left style="medium">
        <color rgb="FFBFBFBF"/>
      </left>
      <right/>
      <top/>
      <bottom style="medium">
        <color rgb="FFBFBFBF"/>
      </bottom>
      <diagonal/>
    </border>
    <border>
      <left style="medium">
        <color rgb="FFBFBFBF"/>
      </left>
      <right/>
      <top/>
      <bottom/>
      <diagonal/>
    </border>
    <border>
      <left style="medium">
        <color rgb="FFBFBFBF"/>
      </left>
      <right/>
      <top style="medium">
        <color indexed="64"/>
      </top>
      <bottom style="medium">
        <color rgb="FFBFBFBF"/>
      </bottom>
      <diagonal/>
    </border>
    <border>
      <left/>
      <right style="medium">
        <color rgb="FFBFBFBF"/>
      </right>
      <top style="medium">
        <color indexed="64"/>
      </top>
      <bottom style="medium">
        <color rgb="FFBFBFBF"/>
      </bottom>
      <diagonal/>
    </border>
    <border>
      <left/>
      <right/>
      <top style="medium">
        <color indexed="64"/>
      </top>
      <bottom style="medium">
        <color rgb="FFBFBFBF"/>
      </bottom>
      <diagonal/>
    </border>
    <border>
      <left style="thin">
        <color indexed="64"/>
      </left>
      <right style="thin">
        <color indexed="64"/>
      </right>
      <top style="double">
        <color indexed="64"/>
      </top>
      <bottom style="thin">
        <color theme="0" tint="-0.24994659260841701"/>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
      <left/>
      <right style="thin">
        <color theme="0" tint="-0.24994659260841701"/>
      </right>
      <top style="thin">
        <color theme="0" tint="-0.24994659260841701"/>
      </top>
      <bottom/>
      <diagonal/>
    </border>
    <border>
      <left style="thin">
        <color indexed="64"/>
      </left>
      <right/>
      <top style="double">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34998626667073579"/>
      </top>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thin">
        <color indexed="64"/>
      </bottom>
      <diagonal/>
    </border>
    <border>
      <left style="thin">
        <color indexed="64"/>
      </left>
      <right style="hair">
        <color theme="0" tint="-0.499984740745262"/>
      </right>
      <top style="thin">
        <color indexed="64"/>
      </top>
      <bottom style="hair">
        <color rgb="FF808080"/>
      </bottom>
      <diagonal/>
    </border>
    <border>
      <left style="thin">
        <color indexed="64"/>
      </left>
      <right style="thin">
        <color indexed="64"/>
      </right>
      <top style="thin">
        <color indexed="64"/>
      </top>
      <bottom style="hair">
        <color rgb="FF808080"/>
      </bottom>
      <diagonal/>
    </border>
    <border>
      <left style="thin">
        <color indexed="64"/>
      </left>
      <right style="hair">
        <color theme="0" tint="-0.499984740745262"/>
      </right>
      <top style="hair">
        <color rgb="FF808080"/>
      </top>
      <bottom style="hair">
        <color rgb="FF808080"/>
      </bottom>
      <diagonal/>
    </border>
    <border>
      <left style="thin">
        <color indexed="64"/>
      </left>
      <right style="thin">
        <color indexed="64"/>
      </right>
      <top style="hair">
        <color rgb="FF808080"/>
      </top>
      <bottom style="hair">
        <color rgb="FF808080"/>
      </bottom>
      <diagonal/>
    </border>
    <border>
      <left style="thin">
        <color indexed="64"/>
      </left>
      <right style="hair">
        <color theme="0" tint="-0.499984740745262"/>
      </right>
      <top style="hair">
        <color rgb="FF808080"/>
      </top>
      <bottom style="thin">
        <color theme="0" tint="-0.24994659260841701"/>
      </bottom>
      <diagonal/>
    </border>
    <border>
      <left style="thin">
        <color indexed="64"/>
      </left>
      <right style="thin">
        <color indexed="64"/>
      </right>
      <top style="hair">
        <color rgb="FF808080"/>
      </top>
      <bottom style="thin">
        <color theme="0" tint="-0.24994659260841701"/>
      </bottom>
      <diagonal/>
    </border>
    <border>
      <left style="thin">
        <color indexed="64"/>
      </left>
      <right style="hair">
        <color theme="0" tint="-0.499984740745262"/>
      </right>
      <top/>
      <bottom style="thin">
        <color indexed="64"/>
      </bottom>
      <diagonal/>
    </border>
    <border>
      <left style="thin">
        <color indexed="64"/>
      </left>
      <right style="hair">
        <color theme="0" tint="-0.499984740745262"/>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19">
    <xf numFmtId="0" fontId="0" fillId="0" borderId="0"/>
    <xf numFmtId="0" fontId="8" fillId="0" borderId="0"/>
    <xf numFmtId="0" fontId="8" fillId="0" borderId="0"/>
    <xf numFmtId="0" fontId="8" fillId="0" borderId="0"/>
    <xf numFmtId="0" fontId="32" fillId="0" borderId="0"/>
    <xf numFmtId="0" fontId="8"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8" fillId="0" borderId="0"/>
    <xf numFmtId="0" fontId="8" fillId="0" borderId="0"/>
    <xf numFmtId="0" fontId="8" fillId="0" borderId="0"/>
    <xf numFmtId="0" fontId="8" fillId="0" borderId="0"/>
    <xf numFmtId="44" fontId="42" fillId="0" borderId="0" applyFont="0" applyFill="0" applyBorder="0" applyAlignment="0" applyProtection="0"/>
  </cellStyleXfs>
  <cellXfs count="739">
    <xf numFmtId="0" fontId="0" fillId="0" borderId="0" xfId="0"/>
    <xf numFmtId="0" fontId="0" fillId="3" borderId="0" xfId="0" applyFill="1" applyAlignment="1">
      <alignment horizontal="center"/>
    </xf>
    <xf numFmtId="0" fontId="0" fillId="3" borderId="15" xfId="0" applyFill="1" applyBorder="1"/>
    <xf numFmtId="0" fontId="13" fillId="3" borderId="0" xfId="0" applyFont="1" applyFill="1" applyBorder="1" applyAlignment="1">
      <alignment horizontal="center" vertical="center"/>
    </xf>
    <xf numFmtId="0" fontId="0" fillId="0" borderId="0" xfId="0" applyFill="1"/>
    <xf numFmtId="0" fontId="18" fillId="0" borderId="0" xfId="0" applyFont="1" applyFill="1" applyAlignment="1">
      <alignment horizontal="center"/>
    </xf>
    <xf numFmtId="0" fontId="0" fillId="3" borderId="0" xfId="0" applyFill="1" applyBorder="1"/>
    <xf numFmtId="0" fontId="0" fillId="0" borderId="0" xfId="0" applyBorder="1"/>
    <xf numFmtId="0" fontId="0" fillId="0" borderId="0" xfId="0" applyFill="1" applyBorder="1"/>
    <xf numFmtId="0" fontId="9" fillId="3" borderId="0" xfId="0" applyFont="1" applyFill="1" applyBorder="1" applyAlignment="1">
      <alignment horizontal="left" vertical="top"/>
    </xf>
    <xf numFmtId="2" fontId="12" fillId="0" borderId="0" xfId="0" applyNumberFormat="1" applyFont="1" applyFill="1" applyBorder="1" applyAlignment="1">
      <alignment horizontal="center"/>
    </xf>
    <xf numFmtId="0" fontId="16" fillId="0" borderId="0" xfId="0" applyFont="1"/>
    <xf numFmtId="0" fontId="9" fillId="3" borderId="0" xfId="0" applyFont="1" applyFill="1"/>
    <xf numFmtId="0" fontId="17" fillId="3" borderId="0" xfId="0" applyFont="1" applyFill="1"/>
    <xf numFmtId="0" fontId="23" fillId="0" borderId="0" xfId="0" applyFont="1" applyFill="1" applyAlignment="1">
      <alignment horizontal="center"/>
    </xf>
    <xf numFmtId="0" fontId="24" fillId="0" borderId="0" xfId="0" applyFont="1" applyFill="1" applyAlignment="1">
      <alignment horizontal="center"/>
    </xf>
    <xf numFmtId="0" fontId="0" fillId="0" borderId="0" xfId="0" applyAlignment="1">
      <alignment vertical="center"/>
    </xf>
    <xf numFmtId="0" fontId="0" fillId="0" borderId="0" xfId="0" applyFont="1" applyFill="1" applyBorder="1"/>
    <xf numFmtId="164" fontId="0" fillId="0" borderId="0" xfId="0" applyNumberFormat="1" applyFont="1" applyFill="1" applyBorder="1" applyAlignment="1">
      <alignment horizontal="center"/>
    </xf>
    <xf numFmtId="0" fontId="0" fillId="0" borderId="0" xfId="0" applyFont="1" applyFill="1" applyBorder="1" applyAlignment="1">
      <alignment horizontal="right"/>
    </xf>
    <xf numFmtId="0" fontId="0" fillId="0" borderId="0" xfId="0"/>
    <xf numFmtId="0" fontId="0" fillId="0" borderId="0" xfId="0" applyFont="1" applyFill="1"/>
    <xf numFmtId="0" fontId="0" fillId="0" borderId="0" xfId="0" applyFill="1"/>
    <xf numFmtId="0" fontId="0" fillId="0" borderId="0" xfId="0"/>
    <xf numFmtId="0" fontId="0" fillId="3" borderId="0" xfId="0" applyFont="1" applyFill="1" applyBorder="1" applyAlignment="1">
      <alignment horizontal="right"/>
    </xf>
    <xf numFmtId="0" fontId="0" fillId="3" borderId="0" xfId="0" applyFont="1" applyFill="1" applyBorder="1"/>
    <xf numFmtId="0" fontId="25" fillId="3" borderId="0" xfId="0" applyFont="1" applyFill="1" applyBorder="1" applyAlignment="1">
      <alignment horizontal="right"/>
    </xf>
    <xf numFmtId="0" fontId="25" fillId="3" borderId="0" xfId="0" applyFont="1" applyFill="1" applyBorder="1" applyAlignment="1">
      <alignment horizontal="left"/>
    </xf>
    <xf numFmtId="0" fontId="0" fillId="0" borderId="0" xfId="0" applyFont="1" applyFill="1"/>
    <xf numFmtId="0" fontId="0" fillId="0" borderId="0" xfId="0" applyFill="1"/>
    <xf numFmtId="0" fontId="0" fillId="3" borderId="0" xfId="0" applyFill="1"/>
    <xf numFmtId="0" fontId="0" fillId="3" borderId="0" xfId="0" applyFont="1" applyFill="1" applyBorder="1" applyAlignment="1">
      <alignment horizontal="center"/>
    </xf>
    <xf numFmtId="0" fontId="21" fillId="3" borderId="0" xfId="0" applyFont="1" applyFill="1"/>
    <xf numFmtId="0" fontId="19" fillId="3" borderId="0" xfId="0" applyFont="1" applyFill="1" applyBorder="1" applyAlignment="1">
      <alignment horizontal="left" vertical="top"/>
    </xf>
    <xf numFmtId="0" fontId="21" fillId="0" borderId="0" xfId="0" applyFont="1" applyFill="1"/>
    <xf numFmtId="0" fontId="14" fillId="3" borderId="0" xfId="0" applyFont="1" applyFill="1" applyBorder="1"/>
    <xf numFmtId="165" fontId="25" fillId="8" borderId="43" xfId="0" applyNumberFormat="1" applyFont="1" applyFill="1" applyBorder="1" applyAlignment="1">
      <alignment horizontal="center"/>
    </xf>
    <xf numFmtId="165" fontId="25" fillId="8" borderId="35" xfId="0" applyNumberFormat="1" applyFont="1" applyFill="1" applyBorder="1" applyAlignment="1">
      <alignment horizontal="center"/>
    </xf>
    <xf numFmtId="165" fontId="0" fillId="8" borderId="43" xfId="0" applyNumberFormat="1" applyFont="1" applyFill="1" applyBorder="1" applyAlignment="1">
      <alignment horizontal="center"/>
    </xf>
    <xf numFmtId="165" fontId="0" fillId="8" borderId="35" xfId="0" applyNumberFormat="1" applyFont="1" applyFill="1" applyBorder="1" applyAlignment="1">
      <alignment horizontal="center"/>
    </xf>
    <xf numFmtId="0" fontId="22" fillId="0" borderId="0" xfId="0" applyFont="1" applyFill="1" applyBorder="1" applyAlignment="1">
      <alignment horizontal="right"/>
    </xf>
    <xf numFmtId="0" fontId="14" fillId="0" borderId="0" xfId="0" applyFont="1" applyFill="1" applyBorder="1"/>
    <xf numFmtId="0" fontId="9" fillId="0" borderId="0" xfId="0" applyFont="1" applyFill="1" applyBorder="1"/>
    <xf numFmtId="0" fontId="26" fillId="0" borderId="0" xfId="0" applyFont="1"/>
    <xf numFmtId="0" fontId="26" fillId="0" borderId="0" xfId="0" applyFont="1" applyAlignment="1">
      <alignment horizontal="center"/>
    </xf>
    <xf numFmtId="0" fontId="26" fillId="0" borderId="55" xfId="0" applyFont="1" applyBorder="1" applyAlignment="1">
      <alignment horizontal="center" vertical="top" wrapText="1"/>
    </xf>
    <xf numFmtId="0" fontId="26" fillId="0" borderId="56" xfId="0" applyFont="1" applyBorder="1" applyAlignment="1">
      <alignment horizontal="center" vertical="top" wrapText="1"/>
    </xf>
    <xf numFmtId="0" fontId="26" fillId="0" borderId="58" xfId="0" applyFont="1" applyBorder="1" applyAlignment="1">
      <alignment horizontal="center" vertical="top" wrapText="1"/>
    </xf>
    <xf numFmtId="0" fontId="26" fillId="0" borderId="59" xfId="0" applyFont="1" applyBorder="1" applyAlignment="1">
      <alignment horizontal="center" vertical="top" wrapText="1"/>
    </xf>
    <xf numFmtId="0" fontId="26" fillId="0" borderId="8" xfId="0" applyFont="1" applyBorder="1" applyAlignment="1">
      <alignment horizontal="center" vertical="top" wrapText="1"/>
    </xf>
    <xf numFmtId="0" fontId="26" fillId="0" borderId="60" xfId="0" applyFont="1" applyBorder="1" applyAlignment="1">
      <alignment horizontal="center" vertical="top" wrapText="1"/>
    </xf>
    <xf numFmtId="0" fontId="27" fillId="0" borderId="56" xfId="0" applyFont="1" applyBorder="1" applyAlignment="1">
      <alignment horizontal="center" vertical="top" wrapText="1"/>
    </xf>
    <xf numFmtId="0" fontId="27" fillId="0" borderId="57" xfId="0" applyFont="1" applyBorder="1" applyAlignment="1">
      <alignment horizontal="center" vertical="top" wrapText="1"/>
    </xf>
    <xf numFmtId="0" fontId="27" fillId="0" borderId="61" xfId="0" applyFont="1" applyBorder="1" applyAlignment="1">
      <alignment horizontal="center" vertical="top" wrapText="1"/>
    </xf>
    <xf numFmtId="0" fontId="27" fillId="0" borderId="0" xfId="0" applyFont="1" applyAlignment="1">
      <alignment horizontal="center" vertical="top" wrapText="1"/>
    </xf>
    <xf numFmtId="0" fontId="27" fillId="0" borderId="58" xfId="0" applyFont="1" applyBorder="1" applyAlignment="1">
      <alignment horizontal="center" vertical="top" wrapText="1"/>
    </xf>
    <xf numFmtId="0" fontId="27" fillId="0" borderId="8" xfId="0" applyFont="1" applyBorder="1" applyAlignment="1">
      <alignment horizontal="center" vertical="top" wrapText="1"/>
    </xf>
    <xf numFmtId="0" fontId="29" fillId="0" borderId="0" xfId="0" applyFont="1"/>
    <xf numFmtId="0" fontId="27" fillId="0" borderId="0" xfId="0" applyFont="1" applyAlignment="1">
      <alignment horizontal="left"/>
    </xf>
    <xf numFmtId="0" fontId="26" fillId="7" borderId="62" xfId="0" applyFont="1" applyFill="1" applyBorder="1" applyAlignment="1">
      <alignment horizontal="center" vertical="top" wrapText="1"/>
    </xf>
    <xf numFmtId="0" fontId="27" fillId="7" borderId="61" xfId="0" applyFont="1" applyFill="1" applyBorder="1" applyAlignment="1">
      <alignment horizontal="center" wrapText="1"/>
    </xf>
    <xf numFmtId="0" fontId="26" fillId="8" borderId="62" xfId="0" applyFont="1" applyFill="1" applyBorder="1" applyAlignment="1">
      <alignment horizontal="center" vertical="top" wrapText="1"/>
    </xf>
    <xf numFmtId="0" fontId="27" fillId="8" borderId="60" xfId="0" applyFont="1" applyFill="1" applyBorder="1" applyAlignment="1">
      <alignment horizontal="center" wrapText="1"/>
    </xf>
    <xf numFmtId="0" fontId="26" fillId="7" borderId="55" xfId="0" applyFont="1" applyFill="1" applyBorder="1" applyAlignment="1">
      <alignment horizontal="center" vertical="top" wrapText="1"/>
    </xf>
    <xf numFmtId="0" fontId="27" fillId="7" borderId="56" xfId="0" applyFont="1" applyFill="1" applyBorder="1" applyAlignment="1">
      <alignment horizontal="center" wrapText="1"/>
    </xf>
    <xf numFmtId="0" fontId="26" fillId="8" borderId="55" xfId="0" applyFont="1" applyFill="1" applyBorder="1" applyAlignment="1">
      <alignment horizontal="center" vertical="top" wrapText="1"/>
    </xf>
    <xf numFmtId="164" fontId="12" fillId="0" borderId="0"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Font="1" applyFill="1" applyAlignment="1">
      <alignment horizontal="center" vertical="center" wrapText="1"/>
    </xf>
    <xf numFmtId="0" fontId="12" fillId="3" borderId="0" xfId="0" applyFont="1" applyFill="1" applyAlignment="1">
      <alignment horizontal="center" vertical="center"/>
    </xf>
    <xf numFmtId="0" fontId="14" fillId="3"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26" fillId="10" borderId="55" xfId="0" applyFont="1" applyFill="1" applyBorder="1" applyAlignment="1">
      <alignment horizontal="center" vertical="top" wrapText="1"/>
    </xf>
    <xf numFmtId="0" fontId="27" fillId="10" borderId="56" xfId="0" applyFont="1" applyFill="1" applyBorder="1" applyAlignment="1">
      <alignment horizontal="center" wrapText="1"/>
    </xf>
    <xf numFmtId="0" fontId="27" fillId="0" borderId="56" xfId="0" applyFont="1" applyFill="1" applyBorder="1" applyAlignment="1">
      <alignment horizontal="center" vertical="top" wrapText="1"/>
    </xf>
    <xf numFmtId="0" fontId="12" fillId="0" borderId="0" xfId="0" applyFont="1" applyFill="1" applyBorder="1" applyAlignment="1">
      <alignment horizontal="center" vertical="center"/>
    </xf>
    <xf numFmtId="0" fontId="0" fillId="0" borderId="0" xfId="0" applyFill="1" applyBorder="1" applyAlignment="1">
      <alignment horizontal="center"/>
    </xf>
    <xf numFmtId="0" fontId="27" fillId="8" borderId="58" xfId="0" applyFont="1" applyFill="1" applyBorder="1" applyAlignment="1">
      <alignment horizontal="center" wrapText="1"/>
    </xf>
    <xf numFmtId="0" fontId="13" fillId="3" borderId="0" xfId="0" applyFont="1" applyFill="1" applyBorder="1" applyAlignment="1">
      <alignment horizontal="right"/>
    </xf>
    <xf numFmtId="0" fontId="22" fillId="3" borderId="0" xfId="0" applyFont="1" applyFill="1" applyBorder="1" applyAlignment="1">
      <alignment horizontal="right"/>
    </xf>
    <xf numFmtId="0" fontId="13" fillId="3" borderId="0" xfId="0" applyFont="1" applyFill="1" applyBorder="1" applyAlignment="1">
      <alignment horizontal="center"/>
    </xf>
    <xf numFmtId="0" fontId="25" fillId="3" borderId="0" xfId="0" applyFont="1" applyFill="1" applyBorder="1"/>
    <xf numFmtId="0" fontId="0" fillId="0" borderId="0" xfId="0" applyFont="1" applyFill="1" applyAlignment="1">
      <alignment horizontal="center" vertical="center"/>
    </xf>
    <xf numFmtId="164" fontId="0"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2" fillId="0" borderId="0" xfId="0" applyFont="1" applyFill="1" applyBorder="1" applyAlignment="1">
      <alignment horizontal="left" vertical="center"/>
    </xf>
    <xf numFmtId="1" fontId="12" fillId="0" borderId="0" xfId="0" applyNumberFormat="1" applyFont="1" applyFill="1" applyBorder="1" applyAlignment="1">
      <alignment horizontal="left" vertical="center"/>
    </xf>
    <xf numFmtId="1" fontId="0" fillId="0" borderId="0" xfId="0" applyNumberFormat="1" applyFont="1" applyFill="1" applyBorder="1" applyAlignment="1">
      <alignment horizontal="left" vertical="center"/>
    </xf>
    <xf numFmtId="164" fontId="12" fillId="0" borderId="0" xfId="0" applyNumberFormat="1" applyFont="1" applyFill="1" applyAlignment="1">
      <alignment horizontal="center" vertical="center"/>
    </xf>
    <xf numFmtId="1" fontId="0" fillId="4" borderId="22" xfId="0" applyNumberFormat="1" applyFont="1" applyFill="1" applyBorder="1" applyAlignment="1">
      <alignment horizontal="center" vertical="center"/>
    </xf>
    <xf numFmtId="0" fontId="0" fillId="0" borderId="0" xfId="0" applyFont="1" applyBorder="1" applyAlignment="1">
      <alignment vertical="center"/>
    </xf>
    <xf numFmtId="0" fontId="12" fillId="0" borderId="0" xfId="0" applyFont="1" applyBorder="1"/>
    <xf numFmtId="0" fontId="0" fillId="0" borderId="10" xfId="0" applyBorder="1"/>
    <xf numFmtId="0" fontId="0" fillId="0" borderId="11" xfId="0" applyBorder="1"/>
    <xf numFmtId="0" fontId="0" fillId="0" borderId="15" xfId="0" applyBorder="1"/>
    <xf numFmtId="0" fontId="26" fillId="0" borderId="53" xfId="0" applyFont="1" applyBorder="1" applyAlignment="1">
      <alignment horizontal="center" vertical="top" wrapText="1"/>
    </xf>
    <xf numFmtId="0" fontId="26" fillId="0" borderId="52" xfId="0" applyFont="1" applyBorder="1" applyAlignment="1">
      <alignment horizontal="center" vertical="top" wrapText="1"/>
    </xf>
    <xf numFmtId="0" fontId="26" fillId="0" borderId="54" xfId="0" applyFont="1" applyBorder="1" applyAlignment="1">
      <alignment horizontal="center" vertical="top" wrapText="1"/>
    </xf>
    <xf numFmtId="0" fontId="10" fillId="0" borderId="0" xfId="0" applyFont="1" applyFill="1" applyBorder="1"/>
    <xf numFmtId="0" fontId="12" fillId="4" borderId="43" xfId="0" applyFont="1" applyFill="1" applyBorder="1" applyAlignment="1">
      <alignment horizontal="center"/>
    </xf>
    <xf numFmtId="0" fontId="12" fillId="4" borderId="75" xfId="0" applyFont="1" applyFill="1" applyBorder="1" applyAlignment="1">
      <alignment horizontal="center"/>
    </xf>
    <xf numFmtId="0" fontId="19" fillId="3" borderId="0" xfId="0" applyFont="1" applyFill="1"/>
    <xf numFmtId="0" fontId="19" fillId="0" borderId="0" xfId="0" applyFont="1"/>
    <xf numFmtId="0" fontId="37" fillId="0" borderId="1" xfId="0" applyFont="1" applyBorder="1"/>
    <xf numFmtId="0" fontId="37" fillId="0" borderId="2" xfId="0" applyFont="1" applyBorder="1"/>
    <xf numFmtId="0" fontId="37" fillId="0" borderId="1" xfId="0" applyFont="1" applyBorder="1" applyAlignment="1">
      <alignment vertical="center"/>
    </xf>
    <xf numFmtId="0" fontId="37" fillId="0" borderId="2" xfId="0" applyFont="1" applyBorder="1" applyAlignment="1">
      <alignment vertical="center"/>
    </xf>
    <xf numFmtId="0" fontId="0" fillId="0" borderId="6" xfId="0" applyFont="1" applyBorder="1" applyAlignment="1">
      <alignment vertical="center"/>
    </xf>
    <xf numFmtId="0" fontId="0" fillId="0" borderId="11" xfId="0" applyFont="1" applyBorder="1" applyAlignment="1">
      <alignment vertical="center"/>
    </xf>
    <xf numFmtId="0" fontId="12" fillId="0" borderId="11" xfId="3" applyFont="1" applyBorder="1" applyAlignment="1"/>
    <xf numFmtId="0" fontId="12" fillId="0" borderId="11" xfId="4" applyFont="1" applyFill="1" applyBorder="1" applyAlignment="1"/>
    <xf numFmtId="0" fontId="12" fillId="0" borderId="11" xfId="0" applyFont="1" applyBorder="1" applyAlignment="1"/>
    <xf numFmtId="0" fontId="12" fillId="0" borderId="15" xfId="0" applyFont="1" applyBorder="1" applyAlignment="1"/>
    <xf numFmtId="0" fontId="0" fillId="0" borderId="15" xfId="0" applyFont="1" applyBorder="1" applyAlignment="1">
      <alignment vertical="center"/>
    </xf>
    <xf numFmtId="0" fontId="33" fillId="0" borderId="11" xfId="4" applyFont="1" applyFill="1" applyBorder="1" applyAlignment="1">
      <alignment vertical="center"/>
    </xf>
    <xf numFmtId="0" fontId="33" fillId="0" borderId="15" xfId="4" applyFont="1" applyFill="1" applyBorder="1" applyAlignment="1">
      <alignment vertical="center"/>
    </xf>
    <xf numFmtId="0" fontId="10" fillId="0" borderId="6" xfId="0" applyFont="1" applyBorder="1" applyAlignment="1">
      <alignment vertical="center"/>
    </xf>
    <xf numFmtId="0" fontId="0" fillId="0" borderId="15" xfId="0" applyBorder="1" applyAlignment="1">
      <alignment vertical="center"/>
    </xf>
    <xf numFmtId="0" fontId="12" fillId="9" borderId="73" xfId="0" applyFont="1" applyFill="1" applyBorder="1" applyAlignment="1">
      <alignment horizontal="center"/>
    </xf>
    <xf numFmtId="166" fontId="12" fillId="9" borderId="66" xfId="0" applyNumberFormat="1" applyFont="1" applyFill="1" applyBorder="1" applyAlignment="1">
      <alignment horizontal="center" vertical="center"/>
    </xf>
    <xf numFmtId="0" fontId="12" fillId="9" borderId="74" xfId="0" applyFont="1" applyFill="1" applyBorder="1" applyAlignment="1">
      <alignment horizontal="center"/>
    </xf>
    <xf numFmtId="166" fontId="12" fillId="9" borderId="27" xfId="0" applyNumberFormat="1" applyFont="1" applyFill="1" applyBorder="1" applyAlignment="1">
      <alignment horizontal="center" vertical="center"/>
    </xf>
    <xf numFmtId="0" fontId="12" fillId="9" borderId="28" xfId="0" applyFont="1" applyFill="1" applyBorder="1" applyAlignment="1">
      <alignment horizontal="center"/>
    </xf>
    <xf numFmtId="166" fontId="12" fillId="9" borderId="28" xfId="0" applyNumberFormat="1" applyFont="1" applyFill="1" applyBorder="1" applyAlignment="1">
      <alignment horizontal="center" vertical="center"/>
    </xf>
    <xf numFmtId="0" fontId="0" fillId="13" borderId="0" xfId="0" applyFill="1"/>
    <xf numFmtId="0" fontId="19" fillId="13" borderId="0" xfId="0" applyFont="1" applyFill="1"/>
    <xf numFmtId="0" fontId="9" fillId="0" borderId="0" xfId="0" applyFont="1"/>
    <xf numFmtId="0" fontId="0" fillId="0" borderId="5" xfId="0" applyBorder="1"/>
    <xf numFmtId="0" fontId="37" fillId="0" borderId="6" xfId="0" applyFont="1" applyBorder="1" applyAlignment="1">
      <alignment vertical="center"/>
    </xf>
    <xf numFmtId="0" fontId="37" fillId="0" borderId="11" xfId="0" applyFont="1" applyBorder="1" applyAlignment="1">
      <alignment vertical="center"/>
    </xf>
    <xf numFmtId="0" fontId="37" fillId="0" borderId="15" xfId="0" applyFont="1" applyBorder="1" applyAlignment="1">
      <alignment vertical="center"/>
    </xf>
    <xf numFmtId="0" fontId="37" fillId="0" borderId="5" xfId="0" applyFont="1" applyBorder="1" applyAlignment="1">
      <alignment vertical="center"/>
    </xf>
    <xf numFmtId="0" fontId="0" fillId="0" borderId="6" xfId="0" applyBorder="1" applyAlignment="1">
      <alignment horizontal="left" vertical="center"/>
    </xf>
    <xf numFmtId="0" fontId="0" fillId="0" borderId="11" xfId="0" applyBorder="1" applyAlignment="1">
      <alignment horizontal="left" vertical="center"/>
    </xf>
    <xf numFmtId="0" fontId="12" fillId="0" borderId="15" xfId="4" applyFont="1" applyFill="1" applyBorder="1" applyAlignment="1"/>
    <xf numFmtId="0" fontId="12" fillId="0" borderId="5" xfId="2" applyFont="1" applyBorder="1" applyAlignment="1"/>
    <xf numFmtId="0" fontId="12" fillId="0" borderId="5" xfId="0" applyFont="1" applyBorder="1" applyAlignment="1"/>
    <xf numFmtId="0" fontId="22" fillId="0" borderId="0" xfId="0" applyFont="1" applyFill="1" applyBorder="1"/>
    <xf numFmtId="0" fontId="0" fillId="0" borderId="6" xfId="0" applyBorder="1"/>
    <xf numFmtId="0" fontId="12" fillId="0" borderId="5" xfId="0" applyFont="1" applyBorder="1"/>
    <xf numFmtId="0" fontId="0" fillId="0" borderId="5" xfId="0" applyFont="1" applyBorder="1" applyAlignment="1">
      <alignment vertical="center"/>
    </xf>
    <xf numFmtId="0" fontId="19" fillId="0" borderId="0" xfId="0" applyFont="1" applyFill="1" applyBorder="1"/>
    <xf numFmtId="0" fontId="20" fillId="0" borderId="0" xfId="0" applyFont="1" applyFill="1" applyBorder="1"/>
    <xf numFmtId="0" fontId="21" fillId="0" borderId="0" xfId="0" applyFont="1" applyFill="1" applyBorder="1"/>
    <xf numFmtId="0" fontId="17" fillId="0" borderId="0" xfId="0" applyFont="1" applyFill="1" applyBorder="1"/>
    <xf numFmtId="0" fontId="0" fillId="0" borderId="0" xfId="0" applyFill="1" applyBorder="1" applyAlignment="1">
      <alignment horizontal="right"/>
    </xf>
    <xf numFmtId="0" fontId="0" fillId="2" borderId="0" xfId="0" applyFill="1" applyBorder="1"/>
    <xf numFmtId="0" fontId="22" fillId="0" borderId="0" xfId="0" applyFont="1"/>
    <xf numFmtId="0" fontId="0" fillId="0" borderId="0" xfId="0" applyAlignment="1">
      <alignment horizontal="right"/>
    </xf>
    <xf numFmtId="165" fontId="0" fillId="0" borderId="0" xfId="0" applyNumberFormat="1" applyFont="1" applyFill="1" applyBorder="1" applyAlignment="1">
      <alignment horizontal="right"/>
    </xf>
    <xf numFmtId="2" fontId="0" fillId="0" borderId="0" xfId="0" applyNumberFormat="1" applyFont="1" applyFill="1" applyBorder="1" applyAlignment="1">
      <alignment horizontal="center"/>
    </xf>
    <xf numFmtId="0" fontId="22" fillId="0" borderId="0" xfId="0" applyFont="1" applyFill="1" applyBorder="1" applyAlignment="1">
      <alignment horizontal="center"/>
    </xf>
    <xf numFmtId="1" fontId="0" fillId="0" borderId="0" xfId="0" applyNumberFormat="1" applyFont="1" applyFill="1" applyBorder="1" applyAlignment="1">
      <alignment horizontal="center"/>
    </xf>
    <xf numFmtId="0" fontId="35" fillId="0" borderId="0" xfId="0" applyFont="1" applyFill="1" applyBorder="1" applyAlignment="1">
      <alignment horizontal="center"/>
    </xf>
    <xf numFmtId="168" fontId="0" fillId="0" borderId="0" xfId="0" applyNumberFormat="1" applyFont="1" applyFill="1" applyBorder="1" applyAlignment="1">
      <alignment horizontal="center"/>
    </xf>
    <xf numFmtId="2" fontId="0" fillId="0" borderId="0" xfId="0" applyNumberFormat="1"/>
    <xf numFmtId="164" fontId="0" fillId="0" borderId="0" xfId="0" applyNumberFormat="1"/>
    <xf numFmtId="0" fontId="13" fillId="0" borderId="14" xfId="0" applyFont="1" applyFill="1" applyBorder="1" applyAlignment="1">
      <alignment horizontal="center" vertical="top"/>
    </xf>
    <xf numFmtId="0" fontId="0" fillId="6" borderId="10" xfId="0" applyFill="1" applyBorder="1"/>
    <xf numFmtId="0" fontId="0" fillId="6" borderId="13" xfId="0" applyFill="1" applyBorder="1"/>
    <xf numFmtId="0" fontId="12" fillId="6" borderId="4" xfId="2" applyFont="1" applyFill="1" applyBorder="1" applyAlignment="1"/>
    <xf numFmtId="0" fontId="12" fillId="6" borderId="10" xfId="0" applyFont="1" applyFill="1" applyBorder="1"/>
    <xf numFmtId="0" fontId="12" fillId="6" borderId="10" xfId="2" applyFont="1" applyFill="1" applyBorder="1" applyAlignment="1"/>
    <xf numFmtId="0" fontId="12" fillId="6" borderId="13" xfId="2" applyFont="1" applyFill="1" applyBorder="1" applyAlignment="1"/>
    <xf numFmtId="0" fontId="0" fillId="6" borderId="4" xfId="0" applyFill="1" applyBorder="1"/>
    <xf numFmtId="0" fontId="0" fillId="6" borderId="4" xfId="0" applyFill="1" applyBorder="1" applyAlignment="1">
      <alignment vertical="center"/>
    </xf>
    <xf numFmtId="0" fontId="0" fillId="6" borderId="10" xfId="0" applyFill="1" applyBorder="1" applyAlignment="1">
      <alignment vertical="center"/>
    </xf>
    <xf numFmtId="0" fontId="0" fillId="6" borderId="13" xfId="0" applyFill="1" applyBorder="1" applyAlignment="1">
      <alignment vertical="center"/>
    </xf>
    <xf numFmtId="0" fontId="12" fillId="6" borderId="4" xfId="0" applyFont="1" applyFill="1" applyBorder="1"/>
    <xf numFmtId="0" fontId="12" fillId="6" borderId="13" xfId="0" applyFont="1" applyFill="1" applyBorder="1"/>
    <xf numFmtId="0" fontId="12" fillId="6" borderId="4" xfId="3" applyFont="1" applyFill="1" applyBorder="1" applyAlignment="1"/>
    <xf numFmtId="0" fontId="12" fillId="6" borderId="10" xfId="3" applyFont="1" applyFill="1" applyBorder="1" applyAlignment="1"/>
    <xf numFmtId="0" fontId="12" fillId="6" borderId="13" xfId="3" applyFont="1" applyFill="1" applyBorder="1" applyAlignment="1"/>
    <xf numFmtId="0" fontId="0" fillId="4" borderId="43" xfId="0" applyFill="1" applyBorder="1" applyAlignment="1">
      <alignment horizontal="center" vertical="center"/>
    </xf>
    <xf numFmtId="0" fontId="0" fillId="4" borderId="75" xfId="0" applyFill="1" applyBorder="1" applyAlignment="1">
      <alignment horizontal="center" vertical="center"/>
    </xf>
    <xf numFmtId="0" fontId="0" fillId="4" borderId="38" xfId="0" applyFont="1" applyFill="1" applyBorder="1" applyAlignment="1">
      <alignment horizontal="center"/>
    </xf>
    <xf numFmtId="0" fontId="0" fillId="4" borderId="42" xfId="0" applyFont="1" applyFill="1" applyBorder="1" applyAlignment="1">
      <alignment horizontal="center"/>
    </xf>
    <xf numFmtId="2" fontId="12" fillId="4" borderId="39" xfId="0" applyNumberFormat="1" applyFont="1" applyFill="1" applyBorder="1" applyAlignment="1">
      <alignment horizontal="center"/>
    </xf>
    <xf numFmtId="165" fontId="12" fillId="4" borderId="39" xfId="0" applyNumberFormat="1" applyFont="1" applyFill="1" applyBorder="1" applyAlignment="1">
      <alignment horizontal="center"/>
    </xf>
    <xf numFmtId="0" fontId="0" fillId="4" borderId="44" xfId="0" applyFont="1" applyFill="1" applyBorder="1" applyAlignment="1">
      <alignment horizontal="center"/>
    </xf>
    <xf numFmtId="0" fontId="0" fillId="4" borderId="48" xfId="0" applyFont="1" applyFill="1" applyBorder="1" applyAlignment="1">
      <alignment horizontal="center"/>
    </xf>
    <xf numFmtId="2" fontId="12" fillId="4" borderId="45" xfId="0" applyNumberFormat="1" applyFont="1" applyFill="1" applyBorder="1" applyAlignment="1">
      <alignment horizontal="center"/>
    </xf>
    <xf numFmtId="165" fontId="12" fillId="4" borderId="45" xfId="0" applyNumberFormat="1" applyFont="1" applyFill="1" applyBorder="1" applyAlignment="1">
      <alignment horizontal="center"/>
    </xf>
    <xf numFmtId="0" fontId="0" fillId="4" borderId="49" xfId="0" applyFont="1" applyFill="1" applyBorder="1" applyAlignment="1">
      <alignment horizontal="center"/>
    </xf>
    <xf numFmtId="0" fontId="0" fillId="4" borderId="72" xfId="0" applyFont="1" applyFill="1" applyBorder="1" applyAlignment="1">
      <alignment horizontal="center"/>
    </xf>
    <xf numFmtId="0" fontId="0" fillId="4" borderId="68" xfId="0" applyFont="1" applyFill="1" applyBorder="1" applyAlignment="1">
      <alignment horizontal="center"/>
    </xf>
    <xf numFmtId="0" fontId="0" fillId="4" borderId="71" xfId="0" applyFill="1" applyBorder="1" applyAlignment="1">
      <alignment horizontal="center"/>
    </xf>
    <xf numFmtId="2" fontId="0" fillId="4" borderId="69" xfId="0" applyNumberFormat="1" applyFill="1" applyBorder="1" applyAlignment="1">
      <alignment horizontal="center"/>
    </xf>
    <xf numFmtId="165" fontId="0" fillId="4" borderId="69" xfId="0" applyNumberFormat="1" applyFill="1" applyBorder="1" applyAlignment="1">
      <alignment horizontal="center"/>
    </xf>
    <xf numFmtId="2" fontId="0" fillId="4" borderId="70" xfId="0" applyNumberFormat="1" applyFill="1" applyBorder="1" applyAlignment="1">
      <alignment horizontal="center"/>
    </xf>
    <xf numFmtId="2" fontId="12" fillId="4" borderId="41" xfId="0" applyNumberFormat="1" applyFont="1" applyFill="1" applyBorder="1" applyAlignment="1">
      <alignment horizontal="center"/>
    </xf>
    <xf numFmtId="2" fontId="12" fillId="4" borderId="47" xfId="0" applyNumberFormat="1" applyFont="1" applyFill="1" applyBorder="1" applyAlignment="1">
      <alignment horizontal="center"/>
    </xf>
    <xf numFmtId="2" fontId="0" fillId="4" borderId="68" xfId="0" applyNumberFormat="1" applyFill="1" applyBorder="1" applyAlignment="1">
      <alignment horizontal="center"/>
    </xf>
    <xf numFmtId="2" fontId="0" fillId="4" borderId="67" xfId="0" applyNumberFormat="1" applyFill="1" applyBorder="1" applyAlignment="1">
      <alignment horizontal="center"/>
    </xf>
    <xf numFmtId="2" fontId="12" fillId="4" borderId="42" xfId="0" applyNumberFormat="1" applyFont="1" applyFill="1" applyBorder="1" applyAlignment="1">
      <alignment horizontal="center"/>
    </xf>
    <xf numFmtId="2" fontId="12" fillId="4" borderId="48" xfId="0" applyNumberFormat="1" applyFont="1" applyFill="1" applyBorder="1" applyAlignment="1">
      <alignment horizontal="center"/>
    </xf>
    <xf numFmtId="2" fontId="0" fillId="4" borderId="71" xfId="0" applyNumberFormat="1" applyFill="1" applyBorder="1" applyAlignment="1">
      <alignment horizontal="center"/>
    </xf>
    <xf numFmtId="0" fontId="12" fillId="4" borderId="26" xfId="0" applyFont="1" applyFill="1" applyBorder="1" applyAlignment="1">
      <alignment horizontal="center"/>
    </xf>
    <xf numFmtId="0" fontId="12" fillId="4" borderId="27" xfId="0" applyFont="1" applyFill="1" applyBorder="1" applyAlignment="1">
      <alignment horizontal="center"/>
    </xf>
    <xf numFmtId="0" fontId="0" fillId="4" borderId="28" xfId="0" applyFont="1" applyFill="1" applyBorder="1" applyAlignment="1">
      <alignment horizontal="center"/>
    </xf>
    <xf numFmtId="0" fontId="0" fillId="4" borderId="69" xfId="0" applyFill="1" applyBorder="1" applyAlignment="1">
      <alignment horizontal="center"/>
    </xf>
    <xf numFmtId="0" fontId="0" fillId="4" borderId="70" xfId="0" applyFill="1" applyBorder="1" applyAlignment="1">
      <alignment horizontal="center"/>
    </xf>
    <xf numFmtId="0" fontId="19" fillId="3" borderId="4" xfId="0" applyFont="1" applyFill="1" applyBorder="1"/>
    <xf numFmtId="0" fontId="0" fillId="3" borderId="13" xfId="0" applyFill="1" applyBorder="1"/>
    <xf numFmtId="0" fontId="0" fillId="3" borderId="14" xfId="0" applyFill="1" applyBorder="1"/>
    <xf numFmtId="0" fontId="20" fillId="3" borderId="5" xfId="0" applyFont="1" applyFill="1" applyBorder="1"/>
    <xf numFmtId="0" fontId="21" fillId="3" borderId="5" xfId="0" applyFont="1" applyFill="1" applyBorder="1"/>
    <xf numFmtId="0" fontId="21" fillId="3" borderId="6" xfId="0" applyFont="1" applyFill="1" applyBorder="1"/>
    <xf numFmtId="164" fontId="0" fillId="4" borderId="26" xfId="0" applyNumberFormat="1" applyFont="1" applyFill="1" applyBorder="1" applyAlignment="1">
      <alignment horizontal="center" vertical="center"/>
    </xf>
    <xf numFmtId="0" fontId="0" fillId="4" borderId="27" xfId="0" applyFont="1" applyFill="1" applyBorder="1" applyAlignment="1">
      <alignment horizontal="center" vertical="center"/>
    </xf>
    <xf numFmtId="1" fontId="0" fillId="4" borderId="27" xfId="0" applyNumberFormat="1" applyFont="1" applyFill="1" applyBorder="1" applyAlignment="1">
      <alignment horizontal="center" vertical="center"/>
    </xf>
    <xf numFmtId="0" fontId="23" fillId="3" borderId="0" xfId="0" applyFont="1" applyFill="1" applyAlignment="1">
      <alignment horizontal="center"/>
    </xf>
    <xf numFmtId="0" fontId="0" fillId="0" borderId="3" xfId="0" applyFill="1" applyBorder="1" applyAlignment="1" applyProtection="1">
      <alignment horizontal="center" vertical="center"/>
      <protection locked="0"/>
    </xf>
    <xf numFmtId="169" fontId="0" fillId="0" borderId="3" xfId="0" applyNumberFormat="1" applyFill="1" applyBorder="1" applyAlignment="1" applyProtection="1">
      <alignment vertical="center"/>
      <protection locked="0"/>
    </xf>
    <xf numFmtId="0" fontId="17" fillId="5" borderId="4" xfId="0" applyFont="1" applyFill="1" applyBorder="1" applyProtection="1">
      <protection locked="0"/>
    </xf>
    <xf numFmtId="0" fontId="10" fillId="5" borderId="5" xfId="0" applyFont="1" applyFill="1" applyBorder="1" applyProtection="1">
      <protection locked="0"/>
    </xf>
    <xf numFmtId="0" fontId="0" fillId="5" borderId="5" xfId="0" applyFill="1" applyBorder="1" applyProtection="1">
      <protection locked="0"/>
    </xf>
    <xf numFmtId="0" fontId="0" fillId="5" borderId="6" xfId="0" applyFill="1" applyBorder="1" applyProtection="1">
      <protection locked="0"/>
    </xf>
    <xf numFmtId="0" fontId="0" fillId="5" borderId="10" xfId="0" applyFill="1" applyBorder="1" applyAlignment="1" applyProtection="1">
      <alignment horizontal="right"/>
      <protection locked="0"/>
    </xf>
    <xf numFmtId="0" fontId="0" fillId="5" borderId="0" xfId="0" applyFill="1" applyBorder="1" applyProtection="1">
      <protection locked="0"/>
    </xf>
    <xf numFmtId="0" fontId="0" fillId="5" borderId="0" xfId="0" applyFill="1" applyBorder="1" applyAlignment="1" applyProtection="1">
      <alignment horizontal="right"/>
      <protection locked="0"/>
    </xf>
    <xf numFmtId="169" fontId="0" fillId="5" borderId="14" xfId="0" applyNumberFormat="1" applyFill="1" applyBorder="1" applyAlignment="1" applyProtection="1">
      <alignment horizontal="center"/>
      <protection locked="0"/>
    </xf>
    <xf numFmtId="0" fontId="0" fillId="5" borderId="11" xfId="0" applyFill="1" applyBorder="1" applyProtection="1">
      <protection locked="0"/>
    </xf>
    <xf numFmtId="0" fontId="0" fillId="5" borderId="13" xfId="0" applyFill="1" applyBorder="1" applyProtection="1">
      <protection locked="0"/>
    </xf>
    <xf numFmtId="0" fontId="0" fillId="5" borderId="14" xfId="0" applyFill="1" applyBorder="1" applyProtection="1">
      <protection locked="0"/>
    </xf>
    <xf numFmtId="0" fontId="0" fillId="5" borderId="15" xfId="0" applyFill="1" applyBorder="1" applyProtection="1">
      <protection locked="0"/>
    </xf>
    <xf numFmtId="0" fontId="0" fillId="0" borderId="3" xfId="0" applyFill="1" applyBorder="1" applyAlignment="1" applyProtection="1">
      <alignment horizontal="center"/>
      <protection locked="0"/>
    </xf>
    <xf numFmtId="165" fontId="0" fillId="9" borderId="26" xfId="0" applyNumberFormat="1" applyFont="1" applyFill="1" applyBorder="1" applyAlignment="1" applyProtection="1">
      <alignment horizontal="center"/>
      <protection locked="0"/>
    </xf>
    <xf numFmtId="15" fontId="0" fillId="9" borderId="3" xfId="0" applyNumberFormat="1" applyFont="1" applyFill="1" applyBorder="1" applyAlignment="1" applyProtection="1">
      <alignment horizontal="center"/>
      <protection locked="0"/>
    </xf>
    <xf numFmtId="18" fontId="0" fillId="9" borderId="3" xfId="0" applyNumberFormat="1" applyFont="1" applyFill="1" applyBorder="1" applyAlignment="1" applyProtection="1">
      <alignment horizontal="center"/>
      <protection locked="0"/>
    </xf>
    <xf numFmtId="165" fontId="0" fillId="9" borderId="28" xfId="0" applyNumberFormat="1" applyFont="1" applyFill="1" applyBorder="1" applyAlignment="1" applyProtection="1">
      <alignment horizontal="center"/>
      <protection locked="0"/>
    </xf>
    <xf numFmtId="0" fontId="0" fillId="3" borderId="1" xfId="0" applyFont="1" applyFill="1" applyBorder="1" applyAlignment="1" applyProtection="1">
      <alignment horizontal="center"/>
      <protection locked="0"/>
    </xf>
    <xf numFmtId="0" fontId="0" fillId="3" borderId="24" xfId="0" applyFont="1" applyFill="1" applyBorder="1" applyAlignment="1" applyProtection="1">
      <alignment horizontal="center"/>
      <protection locked="0"/>
    </xf>
    <xf numFmtId="165" fontId="0" fillId="6" borderId="3" xfId="0" applyNumberFormat="1" applyFont="1" applyFill="1" applyBorder="1" applyAlignment="1" applyProtection="1">
      <alignment horizontal="center"/>
      <protection locked="0"/>
    </xf>
    <xf numFmtId="15" fontId="0" fillId="6" borderId="3" xfId="0" applyNumberFormat="1" applyFont="1" applyFill="1" applyBorder="1" applyAlignment="1" applyProtection="1">
      <alignment horizontal="center"/>
      <protection locked="0"/>
    </xf>
    <xf numFmtId="18" fontId="0" fillId="6" borderId="3" xfId="0" applyNumberFormat="1" applyFont="1" applyFill="1" applyBorder="1" applyAlignment="1" applyProtection="1">
      <alignment horizontal="center"/>
      <protection locked="0"/>
    </xf>
    <xf numFmtId="165" fontId="0" fillId="7" borderId="22" xfId="0" applyNumberFormat="1" applyFont="1" applyFill="1" applyBorder="1" applyAlignment="1" applyProtection="1">
      <alignment horizontal="center"/>
      <protection locked="0"/>
    </xf>
    <xf numFmtId="15" fontId="0" fillId="7" borderId="22" xfId="0" applyNumberFormat="1" applyFont="1" applyFill="1" applyBorder="1" applyAlignment="1" applyProtection="1">
      <alignment horizontal="center"/>
      <protection locked="0"/>
    </xf>
    <xf numFmtId="18" fontId="0" fillId="7" borderId="22" xfId="0" applyNumberFormat="1" applyFont="1" applyFill="1" applyBorder="1" applyAlignment="1" applyProtection="1">
      <alignment horizontal="center"/>
      <protection locked="0"/>
    </xf>
    <xf numFmtId="0" fontId="0" fillId="0" borderId="26" xfId="0" applyFont="1" applyFill="1" applyBorder="1" applyAlignment="1" applyProtection="1">
      <alignment horizontal="center" vertical="center"/>
      <protection locked="0"/>
    </xf>
    <xf numFmtId="164" fontId="0" fillId="0" borderId="27" xfId="0" applyNumberFormat="1" applyFont="1" applyFill="1" applyBorder="1" applyAlignment="1" applyProtection="1">
      <alignment horizontal="center"/>
      <protection locked="0"/>
    </xf>
    <xf numFmtId="165" fontId="0" fillId="0" borderId="27" xfId="0" applyNumberForma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164" fontId="0" fillId="0" borderId="3" xfId="0" applyNumberFormat="1" applyFont="1" applyFill="1" applyBorder="1" applyAlignment="1" applyProtection="1">
      <alignment horizontal="center"/>
      <protection locked="0"/>
    </xf>
    <xf numFmtId="164" fontId="0" fillId="0" borderId="26" xfId="0" applyNumberFormat="1"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166" fontId="12" fillId="6" borderId="29" xfId="0" applyNumberFormat="1" applyFont="1" applyFill="1" applyBorder="1" applyAlignment="1" applyProtection="1">
      <alignment horizontal="center" vertical="center"/>
      <protection locked="0"/>
    </xf>
    <xf numFmtId="2" fontId="12" fillId="7" borderId="29" xfId="0" applyNumberFormat="1" applyFont="1" applyFill="1" applyBorder="1" applyAlignment="1" applyProtection="1">
      <alignment horizontal="center" vertical="center"/>
      <protection locked="0"/>
    </xf>
    <xf numFmtId="2" fontId="12" fillId="8" borderId="29" xfId="0" applyNumberFormat="1" applyFont="1" applyFill="1" applyBorder="1" applyAlignment="1" applyProtection="1">
      <alignment horizontal="center" vertical="center"/>
      <protection locked="0"/>
    </xf>
    <xf numFmtId="164" fontId="12" fillId="8" borderId="29" xfId="0" applyNumberFormat="1" applyFont="1" applyFill="1" applyBorder="1" applyAlignment="1" applyProtection="1">
      <alignment horizontal="center" vertical="center"/>
      <protection locked="0"/>
    </xf>
    <xf numFmtId="166" fontId="12" fillId="6" borderId="32" xfId="0" applyNumberFormat="1" applyFont="1" applyFill="1" applyBorder="1" applyAlignment="1" applyProtection="1">
      <alignment horizontal="center" vertical="center"/>
      <protection locked="0"/>
    </xf>
    <xf numFmtId="2" fontId="12" fillId="7" borderId="32" xfId="0" applyNumberFormat="1" applyFont="1" applyFill="1" applyBorder="1" applyAlignment="1" applyProtection="1">
      <alignment horizontal="center" vertical="center"/>
      <protection locked="0"/>
    </xf>
    <xf numFmtId="2" fontId="12" fillId="8" borderId="32" xfId="0" applyNumberFormat="1" applyFont="1" applyFill="1" applyBorder="1" applyAlignment="1" applyProtection="1">
      <alignment horizontal="center" vertical="center"/>
      <protection locked="0"/>
    </xf>
    <xf numFmtId="165" fontId="12" fillId="8" borderId="32" xfId="0" applyNumberFormat="1" applyFont="1" applyFill="1" applyBorder="1" applyAlignment="1" applyProtection="1">
      <alignment horizontal="center" vertical="center"/>
      <protection locked="0"/>
    </xf>
    <xf numFmtId="166" fontId="12" fillId="6" borderId="35" xfId="0" applyNumberFormat="1" applyFont="1" applyFill="1" applyBorder="1" applyAlignment="1" applyProtection="1">
      <alignment horizontal="center" vertical="center"/>
      <protection locked="0"/>
    </xf>
    <xf numFmtId="2" fontId="12" fillId="7" borderId="35" xfId="0" applyNumberFormat="1" applyFont="1" applyFill="1" applyBorder="1" applyAlignment="1" applyProtection="1">
      <alignment horizontal="center" vertical="center"/>
      <protection locked="0"/>
    </xf>
    <xf numFmtId="2" fontId="12" fillId="8" borderId="35" xfId="0" applyNumberFormat="1" applyFont="1" applyFill="1" applyBorder="1" applyAlignment="1" applyProtection="1">
      <alignment horizontal="center" vertical="center"/>
      <protection locked="0"/>
    </xf>
    <xf numFmtId="0" fontId="12" fillId="8" borderId="35" xfId="0" applyFont="1" applyFill="1" applyBorder="1" applyAlignment="1" applyProtection="1">
      <alignment horizontal="center" vertical="center"/>
      <protection locked="0"/>
    </xf>
    <xf numFmtId="0" fontId="12" fillId="0" borderId="31" xfId="0" applyFont="1" applyFill="1" applyBorder="1" applyAlignment="1" applyProtection="1">
      <alignment horizontal="left" vertical="center"/>
      <protection locked="0"/>
    </xf>
    <xf numFmtId="0" fontId="12" fillId="0" borderId="29" xfId="0" applyFont="1" applyFill="1" applyBorder="1" applyAlignment="1" applyProtection="1">
      <alignment horizontal="left" vertical="center"/>
      <protection locked="0"/>
    </xf>
    <xf numFmtId="0" fontId="12" fillId="0" borderId="33" xfId="0" applyFont="1" applyFill="1" applyBorder="1" applyAlignment="1" applyProtection="1">
      <alignment horizontal="center" vertical="center"/>
      <protection locked="0"/>
    </xf>
    <xf numFmtId="0" fontId="12" fillId="0" borderId="34" xfId="0" applyFont="1" applyFill="1" applyBorder="1" applyAlignment="1" applyProtection="1">
      <alignment horizontal="left" vertical="center"/>
      <protection locked="0"/>
    </xf>
    <xf numFmtId="0" fontId="12" fillId="0" borderId="32" xfId="0" applyFont="1" applyFill="1" applyBorder="1" applyAlignment="1" applyProtection="1">
      <alignment horizontal="left" vertical="center"/>
      <protection locked="0"/>
    </xf>
    <xf numFmtId="1" fontId="12" fillId="0" borderId="34" xfId="0" applyNumberFormat="1" applyFont="1" applyFill="1" applyBorder="1" applyAlignment="1" applyProtection="1">
      <alignment horizontal="left" vertical="center"/>
      <protection locked="0"/>
    </xf>
    <xf numFmtId="2" fontId="12" fillId="0" borderId="33" xfId="0" applyNumberFormat="1" applyFont="1" applyFill="1" applyBorder="1" applyAlignment="1" applyProtection="1">
      <alignment horizontal="center" vertical="center"/>
      <protection locked="0"/>
    </xf>
    <xf numFmtId="1" fontId="0" fillId="0" borderId="34" xfId="0" applyNumberFormat="1" applyFont="1" applyFill="1" applyBorder="1" applyAlignment="1" applyProtection="1">
      <alignment horizontal="left" vertical="center"/>
      <protection locked="0"/>
    </xf>
    <xf numFmtId="0" fontId="12" fillId="0" borderId="36" xfId="0" applyFont="1" applyFill="1" applyBorder="1" applyAlignment="1" applyProtection="1">
      <alignment horizontal="center" vertical="center"/>
      <protection locked="0"/>
    </xf>
    <xf numFmtId="1" fontId="12" fillId="0" borderId="37" xfId="0" applyNumberFormat="1" applyFont="1" applyFill="1" applyBorder="1" applyAlignment="1" applyProtection="1">
      <alignment horizontal="left" vertical="center"/>
      <protection locked="0"/>
    </xf>
    <xf numFmtId="0" fontId="17" fillId="3" borderId="0" xfId="0" applyFont="1" applyFill="1" applyProtection="1">
      <protection locked="0"/>
    </xf>
    <xf numFmtId="0" fontId="9" fillId="3" borderId="0" xfId="0" applyFont="1" applyFill="1" applyAlignment="1" applyProtection="1">
      <alignment horizontal="right"/>
      <protection locked="0"/>
    </xf>
    <xf numFmtId="0" fontId="0" fillId="3" borderId="0" xfId="0" applyFill="1" applyProtection="1">
      <protection locked="0"/>
    </xf>
    <xf numFmtId="0" fontId="0" fillId="3" borderId="0" xfId="0" applyFont="1" applyFill="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0" fillId="3" borderId="18" xfId="0" applyFont="1" applyFill="1" applyBorder="1" applyProtection="1">
      <protection locked="0"/>
    </xf>
    <xf numFmtId="0" fontId="9" fillId="3" borderId="0" xfId="0" applyFont="1" applyFill="1" applyBorder="1" applyAlignment="1" applyProtection="1">
      <alignment horizontal="center"/>
      <protection locked="0"/>
    </xf>
    <xf numFmtId="0" fontId="13" fillId="3" borderId="19"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protection locked="0"/>
    </xf>
    <xf numFmtId="0" fontId="13" fillId="3" borderId="20" xfId="0" applyFont="1" applyFill="1" applyBorder="1" applyAlignment="1" applyProtection="1">
      <alignment horizontal="center" vertical="center"/>
      <protection locked="0"/>
    </xf>
    <xf numFmtId="0" fontId="12" fillId="3" borderId="20"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0" fillId="3" borderId="20" xfId="0" applyFill="1" applyBorder="1" applyAlignment="1" applyProtection="1">
      <alignment horizontal="center"/>
      <protection locked="0"/>
    </xf>
    <xf numFmtId="0" fontId="12" fillId="3" borderId="29" xfId="0" applyFont="1" applyFill="1" applyBorder="1" applyAlignment="1" applyProtection="1">
      <alignment horizontal="center" vertical="center"/>
      <protection locked="0"/>
    </xf>
    <xf numFmtId="2" fontId="12" fillId="4" borderId="29" xfId="0" applyNumberFormat="1" applyFont="1" applyFill="1" applyBorder="1" applyAlignment="1" applyProtection="1">
      <alignment horizontal="center" vertical="center"/>
      <protection locked="0"/>
    </xf>
    <xf numFmtId="2" fontId="12" fillId="3" borderId="10" xfId="0" applyNumberFormat="1" applyFont="1" applyFill="1" applyBorder="1" applyAlignment="1" applyProtection="1">
      <alignment horizontal="center" vertical="center"/>
      <protection locked="0"/>
    </xf>
    <xf numFmtId="0" fontId="0" fillId="3" borderId="29" xfId="0" applyFill="1" applyBorder="1" applyAlignment="1" applyProtection="1">
      <alignment horizontal="center"/>
      <protection locked="0"/>
    </xf>
    <xf numFmtId="164" fontId="12" fillId="6" borderId="66" xfId="0" applyNumberFormat="1" applyFont="1" applyFill="1" applyBorder="1" applyAlignment="1" applyProtection="1">
      <alignment horizontal="center" vertical="center"/>
      <protection locked="0"/>
    </xf>
    <xf numFmtId="164" fontId="12" fillId="3" borderId="29" xfId="0" applyNumberFormat="1" applyFont="1" applyFill="1" applyBorder="1" applyAlignment="1" applyProtection="1">
      <alignment horizontal="center" vertical="center"/>
      <protection locked="0"/>
    </xf>
    <xf numFmtId="164" fontId="12" fillId="3" borderId="0" xfId="0" applyNumberFormat="1" applyFont="1" applyFill="1" applyBorder="1" applyAlignment="1" applyProtection="1">
      <alignment horizontal="center" vertical="center"/>
      <protection locked="0"/>
    </xf>
    <xf numFmtId="0" fontId="0" fillId="11" borderId="21" xfId="0" applyFill="1" applyBorder="1" applyAlignment="1" applyProtection="1">
      <alignment horizontal="center"/>
      <protection locked="0"/>
    </xf>
    <xf numFmtId="164" fontId="0" fillId="3" borderId="21" xfId="0" applyNumberFormat="1" applyFill="1" applyBorder="1" applyAlignment="1" applyProtection="1">
      <alignment horizontal="center"/>
      <protection locked="0"/>
    </xf>
    <xf numFmtId="0" fontId="12" fillId="3" borderId="32" xfId="0" applyFont="1" applyFill="1" applyBorder="1" applyAlignment="1" applyProtection="1">
      <alignment horizontal="center" vertical="center"/>
      <protection locked="0"/>
    </xf>
    <xf numFmtId="2" fontId="12" fillId="4" borderId="32" xfId="0" applyNumberFormat="1" applyFont="1" applyFill="1" applyBorder="1" applyAlignment="1" applyProtection="1">
      <alignment horizontal="center" vertical="center"/>
      <protection locked="0"/>
    </xf>
    <xf numFmtId="0" fontId="0" fillId="3" borderId="32" xfId="0" applyFill="1" applyBorder="1" applyAlignment="1" applyProtection="1">
      <alignment horizontal="center"/>
      <protection locked="0"/>
    </xf>
    <xf numFmtId="164" fontId="12" fillId="6" borderId="27" xfId="0" applyNumberFormat="1" applyFont="1" applyFill="1" applyBorder="1" applyAlignment="1" applyProtection="1">
      <alignment horizontal="center" vertical="center"/>
      <protection locked="0"/>
    </xf>
    <xf numFmtId="164" fontId="12" fillId="3" borderId="32" xfId="0" applyNumberFormat="1" applyFont="1" applyFill="1" applyBorder="1" applyAlignment="1" applyProtection="1">
      <alignment horizontal="center" vertical="center"/>
      <protection locked="0"/>
    </xf>
    <xf numFmtId="0" fontId="0" fillId="11" borderId="19" xfId="0" applyFill="1" applyBorder="1" applyAlignment="1" applyProtection="1">
      <alignment horizontal="center"/>
      <protection locked="0"/>
    </xf>
    <xf numFmtId="164" fontId="0" fillId="3" borderId="19" xfId="0" applyNumberFormat="1" applyFill="1" applyBorder="1" applyAlignment="1" applyProtection="1">
      <alignment horizontal="center"/>
      <protection locked="0"/>
    </xf>
    <xf numFmtId="0" fontId="12" fillId="3" borderId="35" xfId="0" applyFont="1" applyFill="1" applyBorder="1" applyAlignment="1" applyProtection="1">
      <alignment horizontal="center" vertical="center" wrapText="1"/>
      <protection locked="0"/>
    </xf>
    <xf numFmtId="2" fontId="12" fillId="4" borderId="35" xfId="0" applyNumberFormat="1" applyFont="1" applyFill="1" applyBorder="1" applyAlignment="1" applyProtection="1">
      <alignment horizontal="center" vertical="center"/>
      <protection locked="0"/>
    </xf>
    <xf numFmtId="0" fontId="0" fillId="3" borderId="35" xfId="0" applyFill="1" applyBorder="1" applyAlignment="1" applyProtection="1">
      <alignment horizontal="center"/>
      <protection locked="0"/>
    </xf>
    <xf numFmtId="164" fontId="12" fillId="6" borderId="28" xfId="0" applyNumberFormat="1" applyFont="1" applyFill="1" applyBorder="1" applyAlignment="1" applyProtection="1">
      <alignment horizontal="center" vertical="center"/>
      <protection locked="0"/>
    </xf>
    <xf numFmtId="164" fontId="12" fillId="3" borderId="35" xfId="0" applyNumberFormat="1" applyFont="1" applyFill="1" applyBorder="1" applyAlignment="1" applyProtection="1">
      <alignment horizontal="center" vertical="center"/>
      <protection locked="0"/>
    </xf>
    <xf numFmtId="0" fontId="0" fillId="11" borderId="22" xfId="0" applyFill="1" applyBorder="1" applyAlignment="1" applyProtection="1">
      <alignment horizontal="center"/>
      <protection locked="0"/>
    </xf>
    <xf numFmtId="164" fontId="0" fillId="3" borderId="22" xfId="0" applyNumberFormat="1" applyFill="1" applyBorder="1" applyAlignment="1" applyProtection="1">
      <alignment horizontal="center"/>
      <protection locked="0"/>
    </xf>
    <xf numFmtId="0" fontId="0" fillId="0" borderId="35" xfId="0" applyFill="1" applyBorder="1" applyAlignment="1" applyProtection="1">
      <alignment horizontal="center" vertical="center"/>
      <protection locked="0"/>
    </xf>
    <xf numFmtId="0" fontId="19" fillId="14" borderId="4" xfId="0" applyFont="1" applyFill="1" applyBorder="1"/>
    <xf numFmtId="0" fontId="0" fillId="14" borderId="5" xfId="0" applyFill="1" applyBorder="1"/>
    <xf numFmtId="0" fontId="0" fillId="14" borderId="6" xfId="0" applyFill="1" applyBorder="1"/>
    <xf numFmtId="0" fontId="0" fillId="14" borderId="10" xfId="0" applyFill="1" applyBorder="1"/>
    <xf numFmtId="0" fontId="0" fillId="14" borderId="0" xfId="0" applyFill="1" applyBorder="1"/>
    <xf numFmtId="0" fontId="0" fillId="14" borderId="11" xfId="0" applyFill="1" applyBorder="1"/>
    <xf numFmtId="0" fontId="0" fillId="14" borderId="10" xfId="0" applyFill="1" applyBorder="1" applyAlignment="1">
      <alignment horizontal="right"/>
    </xf>
    <xf numFmtId="0" fontId="0" fillId="14" borderId="0" xfId="0" applyFill="1" applyBorder="1" applyProtection="1">
      <protection locked="0"/>
    </xf>
    <xf numFmtId="0" fontId="0" fillId="14" borderId="10" xfId="0" applyFill="1" applyBorder="1" applyProtection="1">
      <protection locked="0"/>
    </xf>
    <xf numFmtId="0" fontId="0" fillId="14" borderId="10" xfId="0" applyFill="1" applyBorder="1" applyAlignment="1" applyProtection="1">
      <alignment horizontal="left"/>
      <protection locked="0"/>
    </xf>
    <xf numFmtId="0" fontId="0" fillId="14" borderId="0" xfId="0" applyFill="1" applyBorder="1" applyAlignment="1" applyProtection="1">
      <alignment horizontal="right"/>
      <protection locked="0"/>
    </xf>
    <xf numFmtId="0" fontId="0" fillId="14" borderId="0" xfId="0" applyFill="1" applyBorder="1" applyAlignment="1" applyProtection="1">
      <alignment horizontal="left"/>
      <protection locked="0"/>
    </xf>
    <xf numFmtId="0" fontId="19" fillId="14" borderId="10" xfId="0" applyFont="1" applyFill="1" applyBorder="1"/>
    <xf numFmtId="0" fontId="38" fillId="14" borderId="0" xfId="0" applyFont="1" applyFill="1" applyBorder="1" applyAlignment="1" applyProtection="1">
      <protection locked="0"/>
    </xf>
    <xf numFmtId="0" fontId="0" fillId="14" borderId="13" xfId="0" applyFill="1" applyBorder="1"/>
    <xf numFmtId="0" fontId="0" fillId="14" borderId="14" xfId="0" applyFill="1" applyBorder="1"/>
    <xf numFmtId="0" fontId="0" fillId="14" borderId="15" xfId="0" applyFill="1" applyBorder="1"/>
    <xf numFmtId="0" fontId="0" fillId="14" borderId="0" xfId="0" applyFill="1" applyBorder="1" applyAlignment="1">
      <alignment horizontal="left" vertical="top" wrapText="1"/>
    </xf>
    <xf numFmtId="0" fontId="0" fillId="14" borderId="0" xfId="0" applyFont="1" applyFill="1" applyBorder="1" applyAlignment="1" applyProtection="1">
      <alignment horizontal="left"/>
      <protection locked="0"/>
    </xf>
    <xf numFmtId="0" fontId="35" fillId="14" borderId="11" xfId="0" applyFont="1" applyFill="1" applyBorder="1" applyAlignment="1">
      <alignment horizontal="left" vertical="top" wrapText="1"/>
    </xf>
    <xf numFmtId="0" fontId="0" fillId="14" borderId="14" xfId="0" applyFont="1" applyFill="1" applyBorder="1" applyAlignment="1" applyProtection="1">
      <alignment horizontal="left"/>
      <protection locked="0"/>
    </xf>
    <xf numFmtId="0" fontId="0" fillId="14" borderId="0" xfId="0" applyFill="1" applyBorder="1" applyAlignment="1" applyProtection="1">
      <alignment horizontal="right" vertical="top"/>
      <protection locked="0"/>
    </xf>
    <xf numFmtId="0" fontId="0" fillId="14" borderId="0" xfId="0" applyFill="1" applyBorder="1" applyAlignment="1" applyProtection="1">
      <alignment horizontal="left" vertical="top"/>
      <protection locked="0"/>
    </xf>
    <xf numFmtId="0" fontId="0" fillId="14" borderId="23" xfId="0" applyFill="1" applyBorder="1" applyAlignment="1" applyProtection="1">
      <alignment horizontal="right"/>
      <protection locked="0"/>
    </xf>
    <xf numFmtId="0" fontId="35" fillId="14" borderId="11" xfId="0" applyFont="1" applyFill="1" applyBorder="1" applyAlignment="1">
      <alignment horizontal="center" vertical="top" wrapText="1"/>
    </xf>
    <xf numFmtId="0" fontId="0" fillId="14" borderId="5" xfId="0" applyFont="1" applyFill="1" applyBorder="1" applyAlignment="1" applyProtection="1">
      <alignment horizontal="left"/>
      <protection locked="0"/>
    </xf>
    <xf numFmtId="0" fontId="0" fillId="14" borderId="0" xfId="0" applyFill="1" applyBorder="1" applyAlignment="1" applyProtection="1">
      <alignment horizontal="left" vertical="top" wrapText="1"/>
      <protection locked="0"/>
    </xf>
    <xf numFmtId="0" fontId="35" fillId="14" borderId="0" xfId="0" applyFont="1" applyFill="1" applyBorder="1" applyProtection="1">
      <protection locked="0"/>
    </xf>
    <xf numFmtId="0" fontId="0" fillId="14" borderId="0" xfId="0" applyFont="1" applyFill="1" applyBorder="1" applyProtection="1">
      <protection locked="0"/>
    </xf>
    <xf numFmtId="0" fontId="0" fillId="14" borderId="19" xfId="0" applyFill="1" applyBorder="1" applyAlignment="1">
      <alignment horizontal="right"/>
    </xf>
    <xf numFmtId="0" fontId="0" fillId="14" borderId="24" xfId="0" applyFont="1" applyFill="1" applyBorder="1" applyProtection="1">
      <protection locked="0"/>
    </xf>
    <xf numFmtId="0" fontId="0" fillId="14" borderId="0" xfId="0" applyFill="1" applyBorder="1" applyAlignment="1">
      <alignment horizontal="left"/>
    </xf>
    <xf numFmtId="0" fontId="0" fillId="14" borderId="0" xfId="0" applyFill="1" applyBorder="1" applyAlignment="1">
      <alignment horizontal="right"/>
    </xf>
    <xf numFmtId="0" fontId="0" fillId="4" borderId="35" xfId="0" applyFill="1" applyBorder="1" applyAlignment="1">
      <alignment horizontal="center" vertical="center"/>
    </xf>
    <xf numFmtId="0" fontId="0" fillId="0" borderId="4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protection locked="0"/>
    </xf>
    <xf numFmtId="0" fontId="19" fillId="14" borderId="0" xfId="0" applyFont="1" applyFill="1" applyBorder="1" applyAlignment="1">
      <alignment horizontal="left" vertical="top"/>
    </xf>
    <xf numFmtId="0" fontId="0" fillId="14" borderId="0" xfId="0" applyFont="1" applyFill="1"/>
    <xf numFmtId="0" fontId="9" fillId="14" borderId="0" xfId="0" applyFont="1" applyFill="1" applyAlignment="1">
      <alignment horizontal="left"/>
    </xf>
    <xf numFmtId="0" fontId="10" fillId="14" borderId="0" xfId="0" applyFont="1" applyFill="1"/>
    <xf numFmtId="0" fontId="13" fillId="14" borderId="0" xfId="0" applyFont="1" applyFill="1" applyBorder="1" applyAlignment="1">
      <alignment horizontal="right"/>
    </xf>
    <xf numFmtId="0" fontId="22" fillId="14" borderId="0" xfId="0" applyFont="1" applyFill="1" applyAlignment="1">
      <alignment horizontal="right"/>
    </xf>
    <xf numFmtId="0" fontId="0" fillId="14" borderId="0" xfId="0" applyFont="1" applyFill="1" applyBorder="1"/>
    <xf numFmtId="0" fontId="22" fillId="14" borderId="0" xfId="0" applyFont="1" applyFill="1" applyBorder="1" applyAlignment="1">
      <alignment horizontal="right"/>
    </xf>
    <xf numFmtId="0" fontId="13" fillId="14" borderId="0" xfId="0" applyFont="1" applyFill="1" applyBorder="1" applyAlignment="1">
      <alignment horizontal="center"/>
    </xf>
    <xf numFmtId="0" fontId="0" fillId="14" borderId="0" xfId="0" applyFont="1" applyFill="1" applyBorder="1" applyAlignment="1">
      <alignment horizontal="right"/>
    </xf>
    <xf numFmtId="0" fontId="0" fillId="14" borderId="0" xfId="0" applyFont="1" applyFill="1" applyBorder="1" applyAlignment="1">
      <alignment horizontal="center"/>
    </xf>
    <xf numFmtId="0" fontId="14" fillId="14" borderId="0" xfId="0" applyFont="1" applyFill="1" applyBorder="1"/>
    <xf numFmtId="0" fontId="0" fillId="14" borderId="1" xfId="0" applyFont="1" applyFill="1" applyBorder="1" applyAlignment="1" applyProtection="1">
      <alignment horizontal="center"/>
      <protection locked="0"/>
    </xf>
    <xf numFmtId="0" fontId="0" fillId="14" borderId="24" xfId="0" applyFont="1" applyFill="1" applyBorder="1" applyAlignment="1" applyProtection="1">
      <alignment horizontal="center"/>
      <protection locked="0"/>
    </xf>
    <xf numFmtId="0" fontId="25" fillId="14" borderId="0" xfId="0" applyFont="1" applyFill="1" applyBorder="1" applyAlignment="1">
      <alignment horizontal="right"/>
    </xf>
    <xf numFmtId="0" fontId="25" fillId="14" borderId="0" xfId="0" applyFont="1" applyFill="1" applyBorder="1"/>
    <xf numFmtId="0" fontId="25" fillId="14" borderId="0" xfId="0" applyFont="1" applyFill="1" applyBorder="1" applyAlignment="1">
      <alignment horizontal="left"/>
    </xf>
    <xf numFmtId="0" fontId="0" fillId="14" borderId="0" xfId="0" applyFill="1"/>
    <xf numFmtId="2" fontId="12" fillId="14" borderId="0" xfId="0" applyNumberFormat="1" applyFont="1" applyFill="1" applyBorder="1" applyAlignment="1">
      <alignment horizontal="center"/>
    </xf>
    <xf numFmtId="0" fontId="22" fillId="14" borderId="0" xfId="0" applyFont="1" applyFill="1"/>
    <xf numFmtId="0" fontId="12" fillId="14" borderId="0" xfId="0" applyFont="1" applyFill="1" applyBorder="1" applyAlignment="1">
      <alignment horizontal="right" vertical="center"/>
    </xf>
    <xf numFmtId="0" fontId="12" fillId="14" borderId="0" xfId="0" applyFont="1" applyFill="1" applyBorder="1" applyAlignment="1">
      <alignment horizontal="left" vertical="center"/>
    </xf>
    <xf numFmtId="0" fontId="0" fillId="14" borderId="0" xfId="0" applyFont="1" applyFill="1" applyBorder="1" applyAlignment="1">
      <alignment horizontal="center" vertical="center"/>
    </xf>
    <xf numFmtId="1" fontId="12" fillId="14" borderId="0" xfId="0" applyNumberFormat="1" applyFont="1" applyFill="1" applyBorder="1" applyAlignment="1">
      <alignment horizontal="left" vertical="center"/>
    </xf>
    <xf numFmtId="0" fontId="12" fillId="14" borderId="0" xfId="0" applyFont="1" applyFill="1" applyBorder="1" applyAlignment="1">
      <alignment horizontal="left" vertical="center" wrapText="1"/>
    </xf>
    <xf numFmtId="2" fontId="0" fillId="14" borderId="0" xfId="0" applyNumberFormat="1" applyFont="1" applyFill="1" applyBorder="1" applyAlignment="1">
      <alignment horizontal="center"/>
    </xf>
    <xf numFmtId="1" fontId="0" fillId="14" borderId="0" xfId="0" applyNumberFormat="1" applyFont="1" applyFill="1" applyBorder="1" applyAlignment="1">
      <alignment horizontal="center" vertical="center"/>
    </xf>
    <xf numFmtId="0" fontId="13" fillId="14" borderId="18" xfId="0" applyFont="1" applyFill="1" applyBorder="1" applyAlignment="1">
      <alignment horizontal="center" vertical="center"/>
    </xf>
    <xf numFmtId="0" fontId="13" fillId="14" borderId="10" xfId="0" applyFont="1" applyFill="1" applyBorder="1" applyAlignment="1">
      <alignment horizontal="center" vertical="center"/>
    </xf>
    <xf numFmtId="0" fontId="13" fillId="14" borderId="19" xfId="0" applyFont="1" applyFill="1" applyBorder="1" applyAlignment="1">
      <alignment horizontal="center" vertical="center"/>
    </xf>
    <xf numFmtId="0" fontId="13" fillId="14" borderId="20" xfId="0" applyFont="1" applyFill="1" applyBorder="1" applyAlignment="1">
      <alignment horizontal="center" vertical="center"/>
    </xf>
    <xf numFmtId="0" fontId="12" fillId="14" borderId="20" xfId="0" applyFont="1" applyFill="1" applyBorder="1" applyAlignment="1">
      <alignment horizontal="center" vertical="center"/>
    </xf>
    <xf numFmtId="0" fontId="12" fillId="14" borderId="10" xfId="0" applyFont="1" applyFill="1" applyBorder="1" applyAlignment="1">
      <alignment horizontal="center" vertical="center"/>
    </xf>
    <xf numFmtId="0" fontId="12" fillId="14" borderId="0" xfId="0" applyFont="1" applyFill="1" applyAlignment="1">
      <alignment horizontal="center" vertical="center"/>
    </xf>
    <xf numFmtId="0" fontId="12" fillId="14" borderId="29" xfId="0" applyFont="1" applyFill="1" applyBorder="1" applyAlignment="1">
      <alignment horizontal="center" vertical="center"/>
    </xf>
    <xf numFmtId="1" fontId="12" fillId="14" borderId="29" xfId="0" applyNumberFormat="1" applyFont="1" applyFill="1" applyBorder="1" applyAlignment="1">
      <alignment horizontal="center" vertical="center"/>
    </xf>
    <xf numFmtId="0" fontId="12" fillId="14" borderId="32" xfId="0" applyFont="1" applyFill="1" applyBorder="1" applyAlignment="1">
      <alignment horizontal="center" vertical="center"/>
    </xf>
    <xf numFmtId="2" fontId="12" fillId="14" borderId="32" xfId="0" applyNumberFormat="1" applyFont="1" applyFill="1" applyBorder="1" applyAlignment="1">
      <alignment horizontal="center" vertical="center"/>
    </xf>
    <xf numFmtId="1" fontId="12" fillId="14" borderId="32" xfId="0" applyNumberFormat="1" applyFont="1" applyFill="1" applyBorder="1" applyAlignment="1">
      <alignment horizontal="center" vertical="center"/>
    </xf>
    <xf numFmtId="0" fontId="12" fillId="14" borderId="35" xfId="0" applyFont="1" applyFill="1" applyBorder="1" applyAlignment="1">
      <alignment horizontal="center" vertical="center" wrapText="1"/>
    </xf>
    <xf numFmtId="2" fontId="12" fillId="14" borderId="35" xfId="0" applyNumberFormat="1" applyFont="1" applyFill="1" applyBorder="1" applyAlignment="1">
      <alignment horizontal="center" vertical="center"/>
    </xf>
    <xf numFmtId="1" fontId="12" fillId="14" borderId="35" xfId="0" applyNumberFormat="1" applyFont="1" applyFill="1" applyBorder="1" applyAlignment="1">
      <alignment horizontal="center" vertical="center"/>
    </xf>
    <xf numFmtId="0" fontId="14" fillId="14" borderId="0" xfId="0" applyFont="1" applyFill="1" applyBorder="1" applyAlignment="1">
      <alignment horizontal="center" vertical="center" wrapText="1"/>
    </xf>
    <xf numFmtId="2" fontId="14" fillId="14" borderId="0" xfId="0" applyNumberFormat="1" applyFont="1" applyFill="1" applyBorder="1" applyAlignment="1">
      <alignment horizontal="center" vertical="center"/>
    </xf>
    <xf numFmtId="166" fontId="14" fillId="14" borderId="0" xfId="0" applyNumberFormat="1" applyFont="1" applyFill="1" applyBorder="1" applyAlignment="1">
      <alignment horizontal="center" vertical="center"/>
    </xf>
    <xf numFmtId="166" fontId="15" fillId="14" borderId="0" xfId="0" applyNumberFormat="1" applyFont="1" applyFill="1" applyBorder="1" applyAlignment="1">
      <alignment horizontal="center" vertical="center"/>
    </xf>
    <xf numFmtId="2" fontId="15" fillId="14" borderId="0" xfId="0" applyNumberFormat="1" applyFont="1" applyFill="1" applyBorder="1" applyAlignment="1">
      <alignment horizontal="center" vertical="center"/>
    </xf>
    <xf numFmtId="0" fontId="15" fillId="14" borderId="0" xfId="0" applyFont="1" applyFill="1" applyBorder="1" applyAlignment="1">
      <alignment horizontal="center" vertical="center"/>
    </xf>
    <xf numFmtId="1" fontId="15" fillId="14" borderId="0" xfId="0" applyNumberFormat="1" applyFont="1" applyFill="1" applyBorder="1" applyAlignment="1">
      <alignment horizontal="center" vertical="center"/>
    </xf>
    <xf numFmtId="0" fontId="13" fillId="14" borderId="4" xfId="0" applyFont="1" applyFill="1" applyBorder="1" applyAlignment="1">
      <alignment horizontal="center" vertical="center"/>
    </xf>
    <xf numFmtId="0" fontId="13" fillId="14" borderId="5" xfId="0" applyFont="1" applyFill="1" applyBorder="1" applyAlignment="1">
      <alignment horizontal="center" vertical="center"/>
    </xf>
    <xf numFmtId="0" fontId="13" fillId="14" borderId="0" xfId="0" applyFont="1" applyFill="1" applyBorder="1" applyAlignment="1">
      <alignment horizontal="center" vertical="center"/>
    </xf>
    <xf numFmtId="0" fontId="12" fillId="14" borderId="7" xfId="0" applyFont="1" applyFill="1" applyBorder="1" applyAlignment="1">
      <alignment horizontal="center" vertical="center"/>
    </xf>
    <xf numFmtId="0" fontId="13" fillId="14" borderId="7" xfId="0" applyFont="1" applyFill="1" applyBorder="1" applyAlignment="1">
      <alignment horizontal="left" vertical="center"/>
    </xf>
    <xf numFmtId="0" fontId="13" fillId="14" borderId="8" xfId="0" applyFont="1" applyFill="1" applyBorder="1" applyAlignment="1">
      <alignment horizontal="center" vertical="center"/>
    </xf>
    <xf numFmtId="0" fontId="12" fillId="14" borderId="30" xfId="0" applyFont="1" applyFill="1" applyBorder="1" applyAlignment="1">
      <alignment horizontal="center" vertical="center"/>
    </xf>
    <xf numFmtId="2" fontId="12" fillId="14" borderId="29" xfId="0" applyNumberFormat="1" applyFont="1" applyFill="1" applyBorder="1" applyAlignment="1">
      <alignment horizontal="center" vertical="center"/>
    </xf>
    <xf numFmtId="1" fontId="12" fillId="14" borderId="33" xfId="0" applyNumberFormat="1" applyFont="1" applyFill="1" applyBorder="1" applyAlignment="1">
      <alignment horizontal="center" vertical="center"/>
    </xf>
    <xf numFmtId="1" fontId="12" fillId="14" borderId="36" xfId="0" applyNumberFormat="1" applyFont="1" applyFill="1" applyBorder="1" applyAlignment="1">
      <alignment horizontal="center" vertical="center"/>
    </xf>
    <xf numFmtId="1" fontId="12" fillId="14" borderId="0" xfId="0" applyNumberFormat="1" applyFont="1" applyFill="1" applyBorder="1" applyAlignment="1">
      <alignment horizontal="center" vertical="center"/>
    </xf>
    <xf numFmtId="164" fontId="0" fillId="4" borderId="26" xfId="0" applyNumberFormat="1" applyFont="1" applyFill="1" applyBorder="1" applyAlignment="1">
      <alignment horizontal="center"/>
    </xf>
    <xf numFmtId="164" fontId="0" fillId="4" borderId="27" xfId="0" applyNumberFormat="1" applyFont="1" applyFill="1" applyBorder="1" applyAlignment="1">
      <alignment horizontal="center" vertical="center"/>
    </xf>
    <xf numFmtId="2" fontId="0" fillId="4" borderId="28" xfId="0" applyNumberFormat="1" applyFont="1" applyFill="1" applyBorder="1" applyAlignment="1">
      <alignment horizontal="center"/>
    </xf>
    <xf numFmtId="2" fontId="0" fillId="4" borderId="26" xfId="0" applyNumberFormat="1" applyFont="1" applyFill="1" applyBorder="1" applyAlignment="1">
      <alignment horizontal="center"/>
    </xf>
    <xf numFmtId="0" fontId="0" fillId="0" borderId="0" xfId="0" applyFill="1" applyProtection="1">
      <protection locked="0"/>
    </xf>
    <xf numFmtId="44" fontId="12" fillId="11" borderId="29" xfId="18" applyFont="1" applyFill="1" applyBorder="1" applyAlignment="1" applyProtection="1">
      <alignment horizontal="center" vertical="center"/>
      <protection locked="0"/>
    </xf>
    <xf numFmtId="0" fontId="10" fillId="14" borderId="0" xfId="0" applyFont="1" applyFill="1" applyBorder="1" applyAlignment="1">
      <alignment horizontal="center"/>
    </xf>
    <xf numFmtId="0" fontId="22" fillId="14" borderId="0" xfId="0" applyFont="1" applyFill="1" applyBorder="1" applyAlignment="1">
      <alignment horizontal="right" vertical="center"/>
    </xf>
    <xf numFmtId="0" fontId="12" fillId="14" borderId="0" xfId="0" applyFont="1" applyFill="1" applyBorder="1" applyAlignment="1">
      <alignment horizontal="center" vertical="center"/>
    </xf>
    <xf numFmtId="0" fontId="0" fillId="14" borderId="4" xfId="0" applyFill="1" applyBorder="1" applyAlignment="1">
      <alignment horizontal="right"/>
    </xf>
    <xf numFmtId="0" fontId="0" fillId="14" borderId="5" xfId="0" applyFont="1" applyFill="1" applyBorder="1" applyAlignment="1">
      <alignment horizontal="center"/>
    </xf>
    <xf numFmtId="164" fontId="0" fillId="14" borderId="0" xfId="0" applyNumberFormat="1" applyFont="1" applyFill="1" applyBorder="1" applyAlignment="1">
      <alignment horizontal="center" vertical="center"/>
    </xf>
    <xf numFmtId="0" fontId="0" fillId="14" borderId="13" xfId="0" applyFill="1" applyBorder="1" applyAlignment="1">
      <alignment horizontal="right"/>
    </xf>
    <xf numFmtId="1" fontId="0" fillId="14" borderId="14" xfId="0" applyNumberFormat="1" applyFont="1" applyFill="1" applyBorder="1" applyAlignment="1">
      <alignment horizontal="center"/>
    </xf>
    <xf numFmtId="0" fontId="13" fillId="14" borderId="6" xfId="0" applyFont="1" applyFill="1" applyBorder="1" applyAlignment="1">
      <alignment horizontal="center" vertical="center"/>
    </xf>
    <xf numFmtId="0" fontId="13" fillId="14" borderId="11" xfId="0" applyFont="1" applyFill="1" applyBorder="1" applyAlignment="1">
      <alignment horizontal="center" vertical="center"/>
    </xf>
    <xf numFmtId="0" fontId="12" fillId="14" borderId="8" xfId="0" applyFont="1" applyFill="1" applyBorder="1" applyAlignment="1">
      <alignment horizontal="center" vertical="center" wrapText="1"/>
    </xf>
    <xf numFmtId="0" fontId="12" fillId="14" borderId="8" xfId="0" applyFont="1" applyFill="1" applyBorder="1" applyAlignment="1">
      <alignment horizontal="center" vertical="center"/>
    </xf>
    <xf numFmtId="0" fontId="12" fillId="14" borderId="9" xfId="0" applyFont="1" applyFill="1" applyBorder="1" applyAlignment="1">
      <alignment horizontal="center" vertical="center"/>
    </xf>
    <xf numFmtId="164" fontId="0" fillId="14" borderId="17" xfId="0" applyNumberFormat="1" applyFont="1" applyFill="1" applyBorder="1" applyAlignment="1">
      <alignment horizontal="center" vertical="center"/>
    </xf>
    <xf numFmtId="2" fontId="0" fillId="14" borderId="17" xfId="0" applyNumberFormat="1" applyFont="1" applyFill="1" applyBorder="1" applyAlignment="1">
      <alignment horizontal="center" vertical="center"/>
    </xf>
    <xf numFmtId="167" fontId="0" fillId="14" borderId="17" xfId="0" applyNumberFormat="1" applyFont="1" applyFill="1" applyBorder="1" applyAlignment="1">
      <alignment horizontal="center" vertical="center"/>
    </xf>
    <xf numFmtId="167" fontId="0" fillId="14" borderId="12" xfId="0" applyNumberFormat="1" applyFont="1" applyFill="1" applyBorder="1" applyAlignment="1">
      <alignment horizontal="center" vertical="center"/>
    </xf>
    <xf numFmtId="0" fontId="0" fillId="0" borderId="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9" fillId="14" borderId="0" xfId="0" applyFont="1" applyFill="1" applyAlignment="1">
      <alignment horizontal="left"/>
    </xf>
    <xf numFmtId="0" fontId="12" fillId="14" borderId="0" xfId="0" applyFont="1" applyFill="1" applyBorder="1"/>
    <xf numFmtId="0" fontId="0" fillId="14" borderId="0" xfId="0" applyFill="1" applyAlignment="1">
      <alignment horizontal="left"/>
    </xf>
    <xf numFmtId="0" fontId="0" fillId="14" borderId="0" xfId="0" applyFill="1" applyBorder="1" applyAlignment="1"/>
    <xf numFmtId="0" fontId="12" fillId="14" borderId="0" xfId="0" applyFont="1" applyFill="1" applyBorder="1" applyAlignment="1">
      <alignment horizontal="right"/>
    </xf>
    <xf numFmtId="0" fontId="12" fillId="14" borderId="0" xfId="0" applyFont="1" applyFill="1" applyBorder="1" applyAlignment="1">
      <alignment horizontal="left"/>
    </xf>
    <xf numFmtId="0" fontId="0" fillId="14" borderId="0" xfId="0" applyFont="1" applyFill="1" applyAlignment="1">
      <alignment horizontal="center"/>
    </xf>
    <xf numFmtId="0" fontId="14" fillId="14" borderId="0" xfId="0" applyFont="1" applyFill="1"/>
    <xf numFmtId="0" fontId="9" fillId="14" borderId="0" xfId="0" applyFont="1" applyFill="1" applyBorder="1" applyAlignment="1">
      <alignment horizontal="right"/>
    </xf>
    <xf numFmtId="0" fontId="16" fillId="14" borderId="0" xfId="0" applyFont="1" applyFill="1"/>
    <xf numFmtId="0" fontId="0" fillId="14" borderId="0" xfId="0" applyFill="1" applyAlignment="1">
      <alignment vertical="center"/>
    </xf>
    <xf numFmtId="0" fontId="12" fillId="14" borderId="0" xfId="0" applyFont="1" applyFill="1" applyAlignment="1">
      <alignment horizontal="center" vertical="center" wrapText="1"/>
    </xf>
    <xf numFmtId="0" fontId="12" fillId="14" borderId="0" xfId="0" applyFont="1" applyFill="1" applyBorder="1" applyAlignment="1">
      <alignment horizontal="center" vertical="center" wrapText="1"/>
    </xf>
    <xf numFmtId="0" fontId="0" fillId="14" borderId="19" xfId="0" applyFill="1" applyBorder="1"/>
    <xf numFmtId="164" fontId="0" fillId="14" borderId="0" xfId="0" applyNumberFormat="1" applyFont="1" applyFill="1" applyBorder="1" applyAlignment="1">
      <alignment horizontal="center"/>
    </xf>
    <xf numFmtId="164" fontId="0" fillId="14" borderId="0" xfId="0" applyNumberFormat="1" applyFont="1" applyFill="1" applyBorder="1" applyAlignment="1">
      <alignment horizontal="right"/>
    </xf>
    <xf numFmtId="2" fontId="0" fillId="15" borderId="26" xfId="0" applyNumberFormat="1" applyFont="1" applyFill="1" applyBorder="1" applyAlignment="1">
      <alignment horizontal="center"/>
    </xf>
    <xf numFmtId="2" fontId="0" fillId="15" borderId="27" xfId="0" applyNumberFormat="1" applyFont="1" applyFill="1" applyBorder="1" applyAlignment="1">
      <alignment horizontal="center"/>
    </xf>
    <xf numFmtId="2" fontId="0" fillId="15" borderId="28" xfId="0" applyNumberFormat="1" applyFont="1" applyFill="1" applyBorder="1" applyAlignment="1">
      <alignment horizontal="center"/>
    </xf>
    <xf numFmtId="2" fontId="0" fillId="15" borderId="3" xfId="0" applyNumberFormat="1" applyFill="1" applyBorder="1" applyAlignment="1">
      <alignment horizontal="center"/>
    </xf>
    <xf numFmtId="2" fontId="12" fillId="11" borderId="29" xfId="18" applyNumberFormat="1" applyFont="1" applyFill="1" applyBorder="1" applyAlignment="1" applyProtection="1">
      <alignment horizontal="center" vertical="center"/>
      <protection locked="0"/>
    </xf>
    <xf numFmtId="2" fontId="12" fillId="11" borderId="32" xfId="18" applyNumberFormat="1" applyFont="1" applyFill="1" applyBorder="1" applyAlignment="1" applyProtection="1">
      <alignment horizontal="center" vertical="center"/>
      <protection locked="0"/>
    </xf>
    <xf numFmtId="2" fontId="12" fillId="11" borderId="35" xfId="18" applyNumberFormat="1" applyFont="1" applyFill="1" applyBorder="1" applyAlignment="1" applyProtection="1">
      <alignment horizontal="center" vertical="center"/>
      <protection locked="0"/>
    </xf>
    <xf numFmtId="0" fontId="22" fillId="0" borderId="14" xfId="2" applyFont="1" applyBorder="1" applyAlignment="1">
      <alignment horizontal="left"/>
    </xf>
    <xf numFmtId="0" fontId="22" fillId="0" borderId="14" xfId="0" applyFont="1" applyBorder="1"/>
    <xf numFmtId="0" fontId="22" fillId="14" borderId="10" xfId="0" applyFont="1" applyFill="1" applyBorder="1" applyAlignment="1">
      <alignment horizontal="right"/>
    </xf>
    <xf numFmtId="0" fontId="12" fillId="3" borderId="0" xfId="0" applyFont="1" applyFill="1"/>
    <xf numFmtId="0" fontId="0" fillId="14" borderId="14" xfId="0" applyFont="1" applyFill="1" applyBorder="1" applyAlignment="1" applyProtection="1">
      <alignment horizontal="center"/>
      <protection locked="0"/>
    </xf>
    <xf numFmtId="0" fontId="22" fillId="14" borderId="11" xfId="0" applyFont="1" applyFill="1" applyBorder="1" applyAlignment="1">
      <alignment horizontal="center"/>
    </xf>
    <xf numFmtId="0" fontId="22" fillId="2" borderId="10" xfId="0" applyFont="1" applyFill="1" applyBorder="1" applyAlignment="1" applyProtection="1">
      <alignment horizontal="center"/>
      <protection locked="0"/>
    </xf>
    <xf numFmtId="0" fontId="22" fillId="2" borderId="0" xfId="0" applyFont="1" applyFill="1" applyAlignment="1" applyProtection="1">
      <alignment horizontal="center"/>
      <protection locked="0"/>
    </xf>
    <xf numFmtId="0" fontId="22" fillId="2" borderId="0" xfId="0" applyFont="1" applyFill="1" applyBorder="1" applyAlignment="1" applyProtection="1">
      <alignment horizontal="center"/>
      <protection locked="0"/>
    </xf>
    <xf numFmtId="0" fontId="22" fillId="2" borderId="25" xfId="0" applyFont="1" applyFill="1" applyBorder="1" applyAlignment="1" applyProtection="1">
      <alignment horizontal="center"/>
      <protection locked="0"/>
    </xf>
    <xf numFmtId="0" fontId="22" fillId="2" borderId="6" xfId="0" applyFont="1" applyFill="1" applyBorder="1" applyAlignment="1" applyProtection="1">
      <alignment horizontal="center"/>
      <protection locked="0"/>
    </xf>
    <xf numFmtId="0" fontId="22" fillId="2" borderId="0" xfId="0" applyFont="1" applyFill="1" applyAlignment="1" applyProtection="1">
      <alignment horizontal="center" wrapText="1"/>
      <protection locked="0"/>
    </xf>
    <xf numFmtId="0" fontId="22" fillId="2" borderId="0" xfId="0" applyFont="1" applyFill="1" applyBorder="1" applyAlignment="1" applyProtection="1">
      <alignment horizontal="center" wrapText="1"/>
      <protection locked="0"/>
    </xf>
    <xf numFmtId="0" fontId="22" fillId="2" borderId="25" xfId="0" applyFont="1" applyFill="1" applyBorder="1" applyAlignment="1" applyProtection="1">
      <alignment horizontal="center" wrapText="1"/>
      <protection locked="0"/>
    </xf>
    <xf numFmtId="0" fontId="22" fillId="2" borderId="11" xfId="0" applyFont="1" applyFill="1" applyBorder="1" applyAlignment="1" applyProtection="1">
      <alignment horizontal="center" wrapText="1"/>
      <protection locked="0"/>
    </xf>
    <xf numFmtId="0" fontId="12" fillId="14" borderId="11" xfId="0" applyFont="1" applyFill="1" applyBorder="1" applyAlignment="1">
      <alignment horizontal="center" vertical="center" wrapText="1"/>
    </xf>
    <xf numFmtId="0" fontId="12" fillId="2" borderId="10"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3" fillId="14" borderId="0" xfId="0" applyFont="1" applyFill="1" applyAlignment="1" applyProtection="1">
      <alignment horizontal="center"/>
      <protection locked="0"/>
    </xf>
    <xf numFmtId="0" fontId="0" fillId="0" borderId="0" xfId="0" applyProtection="1">
      <protection locked="0"/>
    </xf>
    <xf numFmtId="0" fontId="9" fillId="14" borderId="0" xfId="0" applyFont="1" applyFill="1" applyProtection="1">
      <protection locked="0"/>
    </xf>
    <xf numFmtId="0" fontId="0" fillId="14" borderId="0" xfId="0" applyFill="1" applyProtection="1">
      <protection locked="0"/>
    </xf>
    <xf numFmtId="0" fontId="0" fillId="14" borderId="0" xfId="0" applyFont="1" applyFill="1" applyProtection="1">
      <protection locked="0"/>
    </xf>
    <xf numFmtId="0" fontId="22" fillId="2" borderId="1" xfId="0" applyFont="1" applyFill="1" applyBorder="1" applyAlignment="1" applyProtection="1">
      <alignment horizontal="center"/>
      <protection locked="0"/>
    </xf>
    <xf numFmtId="0" fontId="22" fillId="2" borderId="24" xfId="0" applyFont="1" applyFill="1" applyBorder="1" applyAlignment="1" applyProtection="1">
      <alignment horizontal="center"/>
      <protection locked="0"/>
    </xf>
    <xf numFmtId="0" fontId="22" fillId="2" borderId="2" xfId="0" applyFont="1" applyFill="1" applyBorder="1" applyAlignment="1" applyProtection="1">
      <alignment horizontal="center"/>
      <protection locked="0"/>
    </xf>
    <xf numFmtId="2" fontId="0" fillId="0" borderId="26"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horizontal="right"/>
      <protection locked="0"/>
    </xf>
    <xf numFmtId="0" fontId="35" fillId="0" borderId="27" xfId="0" applyFont="1" applyFill="1" applyBorder="1" applyAlignment="1" applyProtection="1">
      <alignment horizontal="center"/>
      <protection locked="0"/>
    </xf>
    <xf numFmtId="168" fontId="0" fillId="0" borderId="28" xfId="0" applyNumberFormat="1" applyFill="1" applyBorder="1" applyAlignment="1" applyProtection="1">
      <alignment horizontal="center"/>
      <protection locked="0"/>
    </xf>
    <xf numFmtId="0" fontId="13" fillId="14" borderId="0" xfId="0" applyFont="1" applyFill="1" applyBorder="1" applyAlignment="1" applyProtection="1">
      <alignment horizontal="center"/>
      <protection locked="0"/>
    </xf>
    <xf numFmtId="0" fontId="14" fillId="14"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0" fontId="22" fillId="14" borderId="0" xfId="0" applyFont="1" applyFill="1" applyProtection="1">
      <protection locked="0"/>
    </xf>
    <xf numFmtId="0" fontId="0" fillId="14" borderId="0" xfId="0" applyFill="1" applyAlignment="1" applyProtection="1">
      <alignment vertical="center"/>
      <protection locked="0"/>
    </xf>
    <xf numFmtId="4" fontId="0" fillId="0" borderId="80" xfId="0" applyNumberFormat="1" applyBorder="1"/>
    <xf numFmtId="4" fontId="0" fillId="0" borderId="80" xfId="0" applyNumberFormat="1" applyFill="1" applyBorder="1"/>
    <xf numFmtId="4" fontId="0" fillId="0" borderId="81" xfId="0" applyNumberFormat="1" applyFill="1" applyBorder="1"/>
    <xf numFmtId="4" fontId="0" fillId="0" borderId="82" xfId="0" applyNumberFormat="1" applyBorder="1"/>
    <xf numFmtId="4" fontId="0" fillId="0" borderId="82" xfId="0" applyNumberFormat="1" applyFill="1" applyBorder="1"/>
    <xf numFmtId="4" fontId="0" fillId="0" borderId="83" xfId="0" applyNumberFormat="1" applyFill="1" applyBorder="1"/>
    <xf numFmtId="4" fontId="12" fillId="0" borderId="84" xfId="0" applyNumberFormat="1" applyFont="1" applyFill="1" applyBorder="1"/>
    <xf numFmtId="4" fontId="12" fillId="0" borderId="85" xfId="0" applyNumberFormat="1" applyFont="1" applyFill="1" applyBorder="1"/>
    <xf numFmtId="4" fontId="0" fillId="0" borderId="86" xfId="0" applyNumberFormat="1" applyFill="1" applyBorder="1"/>
    <xf numFmtId="4" fontId="0" fillId="0" borderId="22" xfId="0" applyNumberFormat="1" applyFill="1" applyBorder="1"/>
    <xf numFmtId="0" fontId="0" fillId="3" borderId="0" xfId="0" applyFill="1" applyBorder="1" applyAlignment="1">
      <alignment horizontal="center"/>
    </xf>
    <xf numFmtId="2" fontId="0" fillId="0" borderId="87" xfId="0" applyNumberFormat="1" applyBorder="1"/>
    <xf numFmtId="2" fontId="0" fillId="0" borderId="87" xfId="0" applyNumberFormat="1" applyFill="1" applyBorder="1"/>
    <xf numFmtId="2" fontId="0" fillId="0" borderId="3" xfId="0" applyNumberFormat="1" applyFill="1" applyBorder="1"/>
    <xf numFmtId="0" fontId="47" fillId="0" borderId="0" xfId="0" applyFont="1" applyFill="1"/>
    <xf numFmtId="0" fontId="19" fillId="0" borderId="0" xfId="0" applyFont="1" applyFill="1"/>
    <xf numFmtId="0" fontId="22" fillId="0" borderId="0" xfId="0" applyFont="1" applyBorder="1"/>
    <xf numFmtId="0" fontId="48" fillId="0" borderId="88" xfId="0" applyFont="1" applyBorder="1"/>
    <xf numFmtId="0" fontId="37" fillId="0" borderId="89" xfId="0" applyFont="1" applyBorder="1"/>
    <xf numFmtId="0" fontId="48" fillId="0" borderId="1" xfId="0" applyFont="1" applyBorder="1"/>
    <xf numFmtId="0" fontId="35" fillId="0" borderId="11" xfId="0" applyFont="1" applyBorder="1"/>
    <xf numFmtId="0" fontId="35" fillId="0" borderId="15" xfId="0" applyFont="1" applyBorder="1"/>
    <xf numFmtId="0" fontId="0" fillId="0" borderId="14" xfId="0" applyBorder="1"/>
    <xf numFmtId="0" fontId="13" fillId="0" borderId="14" xfId="0" applyFont="1" applyFill="1" applyBorder="1" applyAlignment="1">
      <alignment horizontal="left" vertical="top"/>
    </xf>
    <xf numFmtId="0" fontId="48" fillId="0" borderId="89" xfId="0" applyFont="1" applyBorder="1"/>
    <xf numFmtId="0" fontId="22" fillId="0" borderId="90" xfId="4" applyFont="1" applyFill="1" applyBorder="1" applyAlignment="1">
      <alignment vertical="top"/>
    </xf>
    <xf numFmtId="0" fontId="49" fillId="0" borderId="91" xfId="4" applyFont="1" applyFill="1" applyBorder="1" applyAlignment="1">
      <alignment vertical="top"/>
    </xf>
    <xf numFmtId="0" fontId="33" fillId="6" borderId="10" xfId="4" applyFont="1" applyFill="1" applyBorder="1" applyAlignment="1">
      <alignment vertical="top"/>
    </xf>
    <xf numFmtId="0" fontId="49" fillId="0" borderId="11" xfId="4" applyFont="1" applyFill="1" applyBorder="1" applyAlignment="1">
      <alignment vertical="top"/>
    </xf>
    <xf numFmtId="0" fontId="33" fillId="0" borderId="10" xfId="4" applyFont="1" applyFill="1" applyBorder="1" applyAlignment="1">
      <alignment vertical="top"/>
    </xf>
    <xf numFmtId="0" fontId="22" fillId="0" borderId="10" xfId="4" applyFont="1" applyFill="1" applyBorder="1" applyAlignment="1">
      <alignment vertical="top"/>
    </xf>
    <xf numFmtId="0" fontId="12" fillId="6" borderId="10" xfId="4" applyFont="1" applyFill="1" applyBorder="1" applyAlignment="1">
      <alignment vertical="top"/>
    </xf>
    <xf numFmtId="0" fontId="9" fillId="0" borderId="0" xfId="0" applyFont="1" applyFill="1"/>
    <xf numFmtId="0" fontId="0" fillId="6" borderId="90" xfId="0" applyFill="1" applyBorder="1"/>
    <xf numFmtId="0" fontId="0" fillId="0" borderId="91" xfId="0" applyBorder="1"/>
    <xf numFmtId="0" fontId="50" fillId="0" borderId="11" xfId="0" applyFont="1" applyBorder="1"/>
    <xf numFmtId="0" fontId="12" fillId="6" borderId="10" xfId="0" applyFont="1" applyFill="1" applyBorder="1" applyAlignment="1">
      <alignment vertical="top"/>
    </xf>
    <xf numFmtId="0" fontId="38" fillId="0" borderId="11" xfId="0" applyFont="1" applyFill="1" applyBorder="1" applyAlignment="1">
      <alignment vertical="top"/>
    </xf>
    <xf numFmtId="0" fontId="22" fillId="0" borderId="10" xfId="0" applyFont="1" applyBorder="1"/>
    <xf numFmtId="0" fontId="35" fillId="0" borderId="6" xfId="0" applyFont="1" applyBorder="1"/>
    <xf numFmtId="0" fontId="22" fillId="14" borderId="0" xfId="0" applyFont="1" applyFill="1" applyAlignment="1">
      <alignment horizontal="center"/>
    </xf>
    <xf numFmtId="0" fontId="22" fillId="14" borderId="0" xfId="0" quotePrefix="1" applyFont="1" applyFill="1" applyAlignment="1">
      <alignment horizontal="center"/>
    </xf>
    <xf numFmtId="0" fontId="12" fillId="14" borderId="0" xfId="0" applyFont="1" applyFill="1" applyAlignment="1">
      <alignment vertical="center"/>
    </xf>
    <xf numFmtId="0" fontId="19" fillId="14" borderId="10" xfId="0" applyFont="1" applyFill="1" applyBorder="1" applyAlignment="1">
      <alignment horizontal="right"/>
    </xf>
    <xf numFmtId="0" fontId="43" fillId="14" borderId="0" xfId="0" applyFont="1" applyFill="1" applyBorder="1" applyProtection="1"/>
    <xf numFmtId="0" fontId="9" fillId="14" borderId="0" xfId="0" applyFont="1" applyFill="1" applyAlignment="1">
      <alignment horizontal="right"/>
    </xf>
    <xf numFmtId="0" fontId="9" fillId="14" borderId="0" xfId="0" applyFont="1" applyFill="1" applyAlignment="1">
      <alignment horizontal="center"/>
    </xf>
    <xf numFmtId="0" fontId="22" fillId="3" borderId="10" xfId="0" applyFont="1" applyFill="1" applyBorder="1" applyAlignment="1">
      <alignment horizontal="right"/>
    </xf>
    <xf numFmtId="0" fontId="0" fillId="3" borderId="0" xfId="0" applyFill="1" applyBorder="1" applyProtection="1">
      <protection locked="0"/>
    </xf>
    <xf numFmtId="0" fontId="38" fillId="3" borderId="0" xfId="0" applyFont="1" applyFill="1" applyBorder="1" applyAlignment="1" applyProtection="1">
      <protection locked="0"/>
    </xf>
    <xf numFmtId="0" fontId="0" fillId="3" borderId="11" xfId="0" applyFill="1" applyBorder="1"/>
    <xf numFmtId="0" fontId="0" fillId="3" borderId="0" xfId="0" applyFill="1" applyBorder="1" applyAlignment="1" applyProtection="1">
      <alignment horizontal="left"/>
      <protection locked="0"/>
    </xf>
    <xf numFmtId="0" fontId="23" fillId="3" borderId="1" xfId="0" applyFont="1" applyFill="1" applyBorder="1" applyAlignment="1">
      <alignment horizontal="center"/>
    </xf>
    <xf numFmtId="0" fontId="23" fillId="3" borderId="24" xfId="0" applyFont="1" applyFill="1" applyBorder="1" applyAlignment="1">
      <alignment horizontal="center"/>
    </xf>
    <xf numFmtId="0" fontId="23" fillId="3" borderId="2" xfId="0" applyFont="1" applyFill="1" applyBorder="1" applyAlignment="1">
      <alignment horizontal="center"/>
    </xf>
    <xf numFmtId="0" fontId="23" fillId="14" borderId="0" xfId="0" applyFont="1" applyFill="1" applyAlignment="1"/>
    <xf numFmtId="0" fontId="12" fillId="14" borderId="10" xfId="0" applyFont="1" applyFill="1" applyBorder="1" applyAlignment="1">
      <alignment horizontal="right"/>
    </xf>
    <xf numFmtId="0" fontId="0" fillId="0" borderId="43" xfId="0" applyFill="1" applyBorder="1" applyAlignment="1" applyProtection="1">
      <alignment horizontal="center" vertical="center"/>
      <protection locked="0"/>
    </xf>
    <xf numFmtId="0" fontId="0" fillId="14" borderId="0" xfId="0" applyFill="1" applyBorder="1" applyProtection="1"/>
    <xf numFmtId="0" fontId="0" fillId="14" borderId="0" xfId="0" applyFill="1" applyBorder="1" applyAlignment="1" applyProtection="1">
      <alignment horizontal="center"/>
    </xf>
    <xf numFmtId="0" fontId="0" fillId="14" borderId="0" xfId="0" applyFill="1" applyBorder="1" applyAlignment="1" applyProtection="1">
      <alignment horizontal="left"/>
    </xf>
    <xf numFmtId="0" fontId="56" fillId="14" borderId="0" xfId="0" applyFont="1" applyFill="1" applyBorder="1" applyProtection="1"/>
    <xf numFmtId="0" fontId="16" fillId="14" borderId="0" xfId="0" applyFont="1" applyFill="1" applyBorder="1" applyProtection="1">
      <protection locked="0"/>
    </xf>
    <xf numFmtId="0" fontId="19" fillId="14" borderId="4" xfId="0" applyFont="1" applyFill="1" applyBorder="1" applyAlignment="1">
      <alignment horizontal="left" vertical="top"/>
    </xf>
    <xf numFmtId="0" fontId="0" fillId="14" borderId="5" xfId="0" applyFont="1" applyFill="1" applyBorder="1"/>
    <xf numFmtId="0" fontId="9" fillId="14" borderId="5" xfId="0" applyFont="1" applyFill="1" applyBorder="1" applyAlignment="1">
      <alignment horizontal="left"/>
    </xf>
    <xf numFmtId="0" fontId="0" fillId="14" borderId="6" xfId="0" applyFont="1" applyFill="1" applyBorder="1"/>
    <xf numFmtId="0" fontId="19" fillId="14" borderId="10" xfId="0" applyFont="1" applyFill="1" applyBorder="1" applyAlignment="1">
      <alignment horizontal="left" vertical="top"/>
    </xf>
    <xf numFmtId="0" fontId="9" fillId="14" borderId="0" xfId="0" applyFont="1" applyFill="1" applyBorder="1" applyAlignment="1">
      <alignment horizontal="left"/>
    </xf>
    <xf numFmtId="0" fontId="0" fillId="14" borderId="11" xfId="0" applyFont="1" applyFill="1" applyBorder="1"/>
    <xf numFmtId="0" fontId="0" fillId="14" borderId="10" xfId="0" applyFont="1" applyFill="1" applyBorder="1"/>
    <xf numFmtId="0" fontId="10" fillId="14" borderId="0" xfId="0" applyFont="1" applyFill="1" applyBorder="1"/>
    <xf numFmtId="0" fontId="0" fillId="14" borderId="13" xfId="0" applyFont="1" applyFill="1" applyBorder="1"/>
    <xf numFmtId="0" fontId="0" fillId="14" borderId="14" xfId="0" applyFont="1" applyFill="1" applyBorder="1"/>
    <xf numFmtId="0" fontId="0" fillId="14" borderId="15" xfId="0" applyFont="1" applyFill="1" applyBorder="1"/>
    <xf numFmtId="0" fontId="19" fillId="3" borderId="4" xfId="0" applyFont="1" applyFill="1" applyBorder="1" applyAlignment="1">
      <alignment horizontal="left" vertical="top"/>
    </xf>
    <xf numFmtId="0" fontId="0" fillId="3" borderId="5" xfId="0" applyFont="1" applyFill="1" applyBorder="1"/>
    <xf numFmtId="0" fontId="9" fillId="3" borderId="5" xfId="0" applyFont="1" applyFill="1" applyBorder="1" applyAlignment="1">
      <alignment horizontal="left"/>
    </xf>
    <xf numFmtId="0" fontId="0" fillId="3" borderId="6" xfId="0" applyFont="1" applyFill="1" applyBorder="1"/>
    <xf numFmtId="0" fontId="19" fillId="3" borderId="10" xfId="0" applyFont="1" applyFill="1" applyBorder="1" applyAlignment="1">
      <alignment horizontal="left" vertical="top"/>
    </xf>
    <xf numFmtId="0" fontId="0" fillId="3" borderId="11" xfId="0" applyFont="1" applyFill="1" applyBorder="1"/>
    <xf numFmtId="0" fontId="0" fillId="3" borderId="10" xfId="0" applyFont="1" applyFill="1" applyBorder="1"/>
    <xf numFmtId="0" fontId="10" fillId="3" borderId="0" xfId="0" applyFont="1" applyFill="1" applyBorder="1" applyAlignment="1">
      <alignment horizontal="center"/>
    </xf>
    <xf numFmtId="0" fontId="10" fillId="3" borderId="0" xfId="0" applyFont="1" applyFill="1" applyBorder="1"/>
    <xf numFmtId="0" fontId="0" fillId="3" borderId="13" xfId="0" applyFont="1" applyFill="1" applyBorder="1"/>
    <xf numFmtId="0" fontId="0" fillId="3" borderId="14" xfId="0" applyFont="1" applyFill="1" applyBorder="1"/>
    <xf numFmtId="0" fontId="0" fillId="3" borderId="15" xfId="0" applyFont="1" applyFill="1" applyBorder="1"/>
    <xf numFmtId="0" fontId="19" fillId="14" borderId="4" xfId="0" applyFont="1" applyFill="1" applyBorder="1" applyAlignment="1">
      <alignment horizontal="left" vertical="center"/>
    </xf>
    <xf numFmtId="0" fontId="11" fillId="14" borderId="5" xfId="0" applyFont="1" applyFill="1" applyBorder="1" applyAlignment="1">
      <alignment horizontal="left" vertical="center"/>
    </xf>
    <xf numFmtId="0" fontId="0" fillId="14" borderId="5" xfId="0" applyFont="1" applyFill="1" applyBorder="1" applyAlignment="1">
      <alignment horizontal="center" vertical="center"/>
    </xf>
    <xf numFmtId="0" fontId="0" fillId="14" borderId="6" xfId="0" applyFont="1" applyFill="1" applyBorder="1" applyAlignment="1">
      <alignment horizontal="center" vertical="center"/>
    </xf>
    <xf numFmtId="0" fontId="11" fillId="14" borderId="10" xfId="0" applyFont="1" applyFill="1" applyBorder="1" applyAlignment="1">
      <alignment horizontal="left" vertical="center"/>
    </xf>
    <xf numFmtId="0" fontId="22" fillId="14" borderId="0" xfId="0" applyFont="1" applyFill="1" applyBorder="1"/>
    <xf numFmtId="0" fontId="0" fillId="14" borderId="11" xfId="0" applyFont="1" applyFill="1" applyBorder="1" applyAlignment="1">
      <alignment horizontal="center" vertical="center"/>
    </xf>
    <xf numFmtId="0" fontId="0" fillId="14" borderId="10" xfId="0" applyFont="1" applyFill="1" applyBorder="1" applyAlignment="1">
      <alignment horizontal="center" vertical="center"/>
    </xf>
    <xf numFmtId="0" fontId="0" fillId="14" borderId="0" xfId="0" applyFill="1" applyBorder="1" applyAlignment="1">
      <alignment horizontal="right" vertical="center"/>
    </xf>
    <xf numFmtId="0" fontId="0" fillId="14" borderId="0" xfId="0" applyFill="1" applyBorder="1" applyAlignment="1">
      <alignment horizontal="left" vertical="center"/>
    </xf>
    <xf numFmtId="0" fontId="22" fillId="14" borderId="0" xfId="0" applyFont="1" applyFill="1" applyBorder="1" applyAlignment="1">
      <alignment horizontal="left" vertical="center"/>
    </xf>
    <xf numFmtId="0" fontId="43" fillId="14" borderId="0" xfId="0" applyFont="1" applyFill="1" applyBorder="1"/>
    <xf numFmtId="0" fontId="0" fillId="14" borderId="0" xfId="0" applyFill="1" applyBorder="1" applyAlignment="1">
      <alignment horizontal="center"/>
    </xf>
    <xf numFmtId="0" fontId="12" fillId="14" borderId="19" xfId="0" applyFont="1" applyFill="1" applyBorder="1" applyAlignment="1">
      <alignment horizontal="center" vertical="center"/>
    </xf>
    <xf numFmtId="0" fontId="0" fillId="14" borderId="10" xfId="0" applyFont="1" applyFill="1" applyBorder="1" applyAlignment="1">
      <alignment horizontal="center" vertical="center" wrapText="1"/>
    </xf>
    <xf numFmtId="1" fontId="12" fillId="14" borderId="19" xfId="0" applyNumberFormat="1" applyFont="1" applyFill="1" applyBorder="1" applyAlignment="1">
      <alignment horizontal="center" vertical="center"/>
    </xf>
    <xf numFmtId="1" fontId="15" fillId="14" borderId="11" xfId="0" applyNumberFormat="1" applyFont="1" applyFill="1" applyBorder="1" applyAlignment="1">
      <alignment horizontal="center" vertical="center"/>
    </xf>
    <xf numFmtId="0" fontId="0" fillId="0" borderId="0" xfId="0" applyFill="1" applyBorder="1" applyProtection="1">
      <protection locked="0"/>
    </xf>
    <xf numFmtId="0" fontId="9" fillId="14" borderId="0" xfId="0" applyFont="1" applyFill="1" applyBorder="1" applyAlignment="1">
      <alignment horizontal="right" vertical="center"/>
    </xf>
    <xf numFmtId="0" fontId="0" fillId="14" borderId="4" xfId="0" applyFont="1" applyFill="1" applyBorder="1" applyAlignment="1">
      <alignment horizontal="center" vertical="center"/>
    </xf>
    <xf numFmtId="0" fontId="13" fillId="14" borderId="13" xfId="0" applyFont="1" applyFill="1" applyBorder="1" applyAlignment="1">
      <alignment horizontal="center" vertical="center"/>
    </xf>
    <xf numFmtId="0" fontId="0" fillId="14" borderId="14" xfId="0" applyFont="1" applyFill="1" applyBorder="1" applyAlignment="1">
      <alignment horizontal="center" vertical="center"/>
    </xf>
    <xf numFmtId="164" fontId="12" fillId="14" borderId="14" xfId="0" applyNumberFormat="1" applyFont="1" applyFill="1" applyBorder="1" applyAlignment="1">
      <alignment horizontal="center" vertical="center"/>
    </xf>
    <xf numFmtId="0" fontId="13" fillId="14" borderId="15" xfId="0" applyFont="1" applyFill="1" applyBorder="1" applyAlignment="1">
      <alignment horizontal="center" vertical="center" wrapText="1"/>
    </xf>
    <xf numFmtId="0" fontId="0" fillId="14" borderId="4" xfId="0" applyFont="1" applyFill="1" applyBorder="1"/>
    <xf numFmtId="0" fontId="9" fillId="14" borderId="0" xfId="0" applyFont="1" applyFill="1" applyBorder="1" applyAlignment="1">
      <alignment horizontal="center" vertical="center"/>
    </xf>
    <xf numFmtId="0" fontId="9" fillId="14" borderId="0" xfId="0" applyFont="1" applyFill="1" applyBorder="1"/>
    <xf numFmtId="0" fontId="9" fillId="14" borderId="0" xfId="0" applyFont="1" applyFill="1" applyBorder="1" applyAlignment="1">
      <alignment horizontal="left" vertical="center"/>
    </xf>
    <xf numFmtId="1" fontId="17" fillId="14" borderId="0" xfId="0" applyNumberFormat="1" applyFont="1" applyFill="1" applyBorder="1" applyAlignment="1">
      <alignment horizontal="right" vertical="center"/>
    </xf>
    <xf numFmtId="2" fontId="0" fillId="3" borderId="0" xfId="0" applyNumberFormat="1" applyFont="1" applyFill="1" applyBorder="1" applyAlignment="1">
      <alignment horizontal="center"/>
    </xf>
    <xf numFmtId="0" fontId="22" fillId="14" borderId="11" xfId="0" applyFont="1" applyFill="1" applyBorder="1" applyAlignment="1">
      <alignment horizontal="right" vertical="center"/>
    </xf>
    <xf numFmtId="0" fontId="22" fillId="14" borderId="0" xfId="0" applyFont="1" applyFill="1" applyAlignment="1">
      <alignment horizontal="right" vertical="center"/>
    </xf>
    <xf numFmtId="0" fontId="0" fillId="0" borderId="3" xfId="0" applyFill="1" applyBorder="1" applyAlignment="1">
      <alignment horizontal="center" vertical="center"/>
    </xf>
    <xf numFmtId="39" fontId="12" fillId="11" borderId="29" xfId="18" applyNumberFormat="1" applyFont="1" applyFill="1" applyBorder="1" applyAlignment="1">
      <alignment horizontal="center" vertical="center"/>
    </xf>
    <xf numFmtId="39" fontId="12" fillId="11" borderId="32" xfId="18" applyNumberFormat="1" applyFont="1" applyFill="1" applyBorder="1" applyAlignment="1">
      <alignment horizontal="center" vertical="center"/>
    </xf>
    <xf numFmtId="39" fontId="12" fillId="11" borderId="35" xfId="18" applyNumberFormat="1" applyFont="1" applyFill="1" applyBorder="1" applyAlignment="1">
      <alignment horizontal="center" vertical="center"/>
    </xf>
    <xf numFmtId="0" fontId="0" fillId="14" borderId="10" xfId="0" applyFill="1" applyBorder="1" applyAlignment="1">
      <alignment horizontal="right" vertical="top"/>
    </xf>
    <xf numFmtId="165" fontId="0" fillId="9" borderId="26" xfId="0" applyNumberFormat="1" applyFont="1" applyFill="1" applyBorder="1" applyAlignment="1">
      <alignment horizontal="center"/>
    </xf>
    <xf numFmtId="15" fontId="0" fillId="9" borderId="3" xfId="0" applyNumberFormat="1" applyFont="1" applyFill="1" applyBorder="1" applyAlignment="1">
      <alignment horizontal="center"/>
    </xf>
    <xf numFmtId="18" fontId="0" fillId="9" borderId="3" xfId="0" applyNumberFormat="1" applyFont="1" applyFill="1" applyBorder="1" applyAlignment="1">
      <alignment horizontal="center"/>
    </xf>
    <xf numFmtId="165" fontId="0" fillId="9" borderId="28" xfId="0" applyNumberFormat="1" applyFont="1" applyFill="1" applyBorder="1" applyAlignment="1">
      <alignment horizontal="center"/>
    </xf>
    <xf numFmtId="0" fontId="0" fillId="3" borderId="1" xfId="0" applyFont="1" applyFill="1" applyBorder="1" applyAlignment="1">
      <alignment horizontal="center"/>
    </xf>
    <xf numFmtId="0" fontId="0" fillId="3" borderId="24" xfId="0" applyFont="1" applyFill="1" applyBorder="1" applyAlignment="1">
      <alignment horizontal="center"/>
    </xf>
    <xf numFmtId="165" fontId="0" fillId="6" borderId="3" xfId="0" applyNumberFormat="1" applyFont="1" applyFill="1" applyBorder="1" applyAlignment="1">
      <alignment horizontal="center"/>
    </xf>
    <xf numFmtId="15" fontId="0" fillId="6" borderId="3" xfId="0" applyNumberFormat="1" applyFont="1" applyFill="1" applyBorder="1" applyAlignment="1">
      <alignment horizontal="center"/>
    </xf>
    <xf numFmtId="18" fontId="0" fillId="6" borderId="3" xfId="0" applyNumberFormat="1" applyFont="1" applyFill="1" applyBorder="1" applyAlignment="1">
      <alignment horizontal="center"/>
    </xf>
    <xf numFmtId="165" fontId="0" fillId="7" borderId="22" xfId="0" applyNumberFormat="1" applyFont="1" applyFill="1" applyBorder="1" applyAlignment="1">
      <alignment horizontal="center"/>
    </xf>
    <xf numFmtId="15" fontId="0" fillId="7" borderId="22" xfId="0" applyNumberFormat="1" applyFont="1" applyFill="1" applyBorder="1" applyAlignment="1">
      <alignment horizontal="center"/>
    </xf>
    <xf numFmtId="18" fontId="0" fillId="7" borderId="22" xfId="0" applyNumberFormat="1" applyFont="1" applyFill="1" applyBorder="1" applyAlignment="1">
      <alignment horizontal="center"/>
    </xf>
    <xf numFmtId="166" fontId="12" fillId="9" borderId="18" xfId="0" applyNumberFormat="1" applyFont="1" applyFill="1" applyBorder="1" applyAlignment="1">
      <alignment horizontal="center" vertical="center"/>
    </xf>
    <xf numFmtId="166" fontId="12" fillId="6" borderId="32" xfId="0" applyNumberFormat="1" applyFont="1" applyFill="1" applyBorder="1" applyAlignment="1">
      <alignment horizontal="center" vertical="center"/>
    </xf>
    <xf numFmtId="2" fontId="12" fillId="7" borderId="32" xfId="0" applyNumberFormat="1" applyFont="1" applyFill="1" applyBorder="1" applyAlignment="1">
      <alignment horizontal="center" vertical="center"/>
    </xf>
    <xf numFmtId="2" fontId="12" fillId="8" borderId="32" xfId="0" applyNumberFormat="1" applyFont="1" applyFill="1" applyBorder="1" applyAlignment="1">
      <alignment horizontal="center" vertical="center"/>
    </xf>
    <xf numFmtId="165" fontId="12" fillId="8" borderId="32" xfId="0" applyNumberFormat="1" applyFont="1" applyFill="1" applyBorder="1" applyAlignment="1">
      <alignment horizontal="center" vertical="center"/>
    </xf>
    <xf numFmtId="166" fontId="12" fillId="6" borderId="35" xfId="0" applyNumberFormat="1" applyFont="1" applyFill="1" applyBorder="1" applyAlignment="1">
      <alignment horizontal="center" vertical="center"/>
    </xf>
    <xf numFmtId="2" fontId="12" fillId="7" borderId="35" xfId="0" applyNumberFormat="1" applyFont="1" applyFill="1" applyBorder="1" applyAlignment="1">
      <alignment horizontal="center" vertical="center"/>
    </xf>
    <xf numFmtId="2" fontId="12" fillId="8" borderId="35" xfId="0" applyNumberFormat="1" applyFont="1" applyFill="1" applyBorder="1" applyAlignment="1">
      <alignment horizontal="center" vertical="center"/>
    </xf>
    <xf numFmtId="165" fontId="12" fillId="8" borderId="35" xfId="0" applyNumberFormat="1" applyFont="1" applyFill="1" applyBorder="1" applyAlignment="1">
      <alignment horizontal="center" vertical="center"/>
    </xf>
    <xf numFmtId="0" fontId="12" fillId="8" borderId="35" xfId="0" applyFont="1" applyFill="1" applyBorder="1" applyAlignment="1">
      <alignment horizontal="center" vertical="center"/>
    </xf>
    <xf numFmtId="2" fontId="17" fillId="4" borderId="22" xfId="0" applyNumberFormat="1" applyFont="1" applyFill="1" applyBorder="1" applyAlignment="1">
      <alignment horizontal="center" vertical="center"/>
    </xf>
    <xf numFmtId="0" fontId="12" fillId="0" borderId="33" xfId="0" applyFont="1" applyFill="1" applyBorder="1" applyAlignment="1">
      <alignment horizontal="left" vertical="center"/>
    </xf>
    <xf numFmtId="0" fontId="12" fillId="0" borderId="31" xfId="0" applyFont="1" applyFill="1" applyBorder="1" applyAlignment="1" applyProtection="1">
      <alignment vertical="center"/>
      <protection locked="0"/>
    </xf>
    <xf numFmtId="0" fontId="12" fillId="0" borderId="33" xfId="0" applyFont="1" applyFill="1" applyBorder="1" applyAlignment="1" applyProtection="1">
      <alignment vertical="center"/>
      <protection locked="0"/>
    </xf>
    <xf numFmtId="0" fontId="12" fillId="0" borderId="33" xfId="0" applyFont="1" applyFill="1" applyBorder="1" applyAlignment="1">
      <alignment vertical="center"/>
    </xf>
    <xf numFmtId="2" fontId="12" fillId="0" borderId="33" xfId="0" applyNumberFormat="1" applyFont="1" applyFill="1" applyBorder="1" applyAlignment="1" applyProtection="1">
      <alignment vertical="center"/>
      <protection locked="0"/>
    </xf>
    <xf numFmtId="0" fontId="12" fillId="0" borderId="36" xfId="0" applyFont="1" applyFill="1" applyBorder="1" applyAlignment="1" applyProtection="1">
      <alignment vertical="center"/>
      <protection locked="0"/>
    </xf>
    <xf numFmtId="3" fontId="0" fillId="4" borderId="42" xfId="0" applyNumberFormat="1" applyFont="1" applyFill="1" applyBorder="1" applyAlignment="1">
      <alignment horizontal="center"/>
    </xf>
    <xf numFmtId="3" fontId="12" fillId="4" borderId="41" xfId="0" applyNumberFormat="1" applyFont="1" applyFill="1" applyBorder="1" applyAlignment="1">
      <alignment horizontal="center"/>
    </xf>
    <xf numFmtId="3" fontId="0" fillId="4" borderId="44" xfId="0" applyNumberFormat="1" applyFont="1" applyFill="1" applyBorder="1" applyAlignment="1">
      <alignment horizontal="center"/>
    </xf>
    <xf numFmtId="3" fontId="12" fillId="4" borderId="47" xfId="0" applyNumberFormat="1" applyFont="1" applyFill="1" applyBorder="1" applyAlignment="1">
      <alignment horizontal="center"/>
    </xf>
    <xf numFmtId="3" fontId="0" fillId="4" borderId="49" xfId="0" applyNumberFormat="1" applyFont="1" applyFill="1" applyBorder="1" applyAlignment="1">
      <alignment horizontal="center"/>
    </xf>
    <xf numFmtId="3" fontId="12" fillId="4" borderId="51" xfId="0" applyNumberFormat="1" applyFont="1" applyFill="1" applyBorder="1" applyAlignment="1">
      <alignment horizontal="center"/>
    </xf>
    <xf numFmtId="3" fontId="0" fillId="4" borderId="39" xfId="0" applyNumberFormat="1" applyFont="1" applyFill="1" applyBorder="1" applyAlignment="1">
      <alignment horizontal="center"/>
    </xf>
    <xf numFmtId="164" fontId="12" fillId="4" borderId="40" xfId="0" applyNumberFormat="1" applyFont="1" applyFill="1" applyBorder="1" applyAlignment="1">
      <alignment horizontal="center"/>
    </xf>
    <xf numFmtId="164" fontId="12" fillId="4" borderId="46" xfId="0" applyNumberFormat="1" applyFont="1" applyFill="1" applyBorder="1" applyAlignment="1">
      <alignment horizontal="center"/>
    </xf>
    <xf numFmtId="164" fontId="12" fillId="4" borderId="50" xfId="0" applyNumberFormat="1" applyFont="1" applyFill="1" applyBorder="1" applyAlignment="1">
      <alignment horizontal="center"/>
    </xf>
    <xf numFmtId="0" fontId="0" fillId="0" borderId="1" xfId="0" applyFill="1" applyBorder="1" applyAlignment="1">
      <alignment horizontal="left" vertical="center"/>
    </xf>
    <xf numFmtId="0" fontId="0" fillId="0" borderId="24" xfId="0" applyFill="1" applyBorder="1" applyAlignment="1">
      <alignment horizontal="left" vertical="center"/>
    </xf>
    <xf numFmtId="0" fontId="0" fillId="0" borderId="2" xfId="0" applyFill="1" applyBorder="1" applyAlignment="1">
      <alignment horizontal="left" vertical="center"/>
    </xf>
    <xf numFmtId="0" fontId="0" fillId="0" borderId="1"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1"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4"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18" fillId="3" borderId="4" xfId="0" applyFont="1" applyFill="1" applyBorder="1" applyAlignment="1">
      <alignment horizontal="center"/>
    </xf>
    <xf numFmtId="0" fontId="18" fillId="3" borderId="5" xfId="0" applyFont="1" applyFill="1" applyBorder="1" applyAlignment="1">
      <alignment horizontal="center"/>
    </xf>
    <xf numFmtId="0" fontId="18" fillId="3" borderId="6" xfId="0" applyFont="1" applyFill="1" applyBorder="1" applyAlignment="1">
      <alignment horizontal="center"/>
    </xf>
    <xf numFmtId="0" fontId="23" fillId="3" borderId="10" xfId="0" applyFont="1" applyFill="1" applyBorder="1" applyAlignment="1">
      <alignment horizontal="center"/>
    </xf>
    <xf numFmtId="0" fontId="23" fillId="3" borderId="0" xfId="0" applyFont="1" applyFill="1" applyBorder="1" applyAlignment="1">
      <alignment horizontal="center"/>
    </xf>
    <xf numFmtId="0" fontId="23" fillId="3" borderId="11" xfId="0" applyFont="1" applyFill="1" applyBorder="1" applyAlignment="1">
      <alignment horizontal="center"/>
    </xf>
    <xf numFmtId="0" fontId="23" fillId="3" borderId="13" xfId="0" applyFont="1" applyFill="1" applyBorder="1" applyAlignment="1">
      <alignment horizontal="center"/>
    </xf>
    <xf numFmtId="0" fontId="23" fillId="3" borderId="14" xfId="0" applyFont="1" applyFill="1" applyBorder="1" applyAlignment="1">
      <alignment horizontal="center"/>
    </xf>
    <xf numFmtId="0" fontId="23" fillId="3" borderId="15" xfId="0" applyFont="1" applyFill="1" applyBorder="1" applyAlignment="1">
      <alignment horizontal="center"/>
    </xf>
    <xf numFmtId="0" fontId="38" fillId="14" borderId="0" xfId="0" applyFont="1" applyFill="1" applyBorder="1" applyAlignment="1" applyProtection="1">
      <protection locked="0"/>
    </xf>
    <xf numFmtId="0" fontId="0" fillId="5" borderId="14" xfId="0" applyFill="1" applyBorder="1" applyAlignment="1" applyProtection="1">
      <alignment horizontal="center"/>
      <protection locked="0"/>
    </xf>
    <xf numFmtId="0" fontId="0" fillId="0" borderId="0" xfId="0" applyFill="1" applyBorder="1" applyAlignment="1">
      <alignment horizontal="center"/>
    </xf>
    <xf numFmtId="0" fontId="0" fillId="4" borderId="76" xfId="0" applyFill="1" applyBorder="1" applyAlignment="1">
      <alignment vertical="center"/>
    </xf>
    <xf numFmtId="0" fontId="0" fillId="4" borderId="77" xfId="0" applyFill="1" applyBorder="1" applyAlignment="1">
      <alignment vertical="center"/>
    </xf>
    <xf numFmtId="0" fontId="0" fillId="4" borderId="78" xfId="0" applyFill="1" applyBorder="1" applyAlignment="1">
      <alignment vertical="center"/>
    </xf>
    <xf numFmtId="0" fontId="0" fillId="4" borderId="36" xfId="0" applyFont="1" applyFill="1" applyBorder="1" applyAlignment="1">
      <alignment vertical="center"/>
    </xf>
    <xf numFmtId="0" fontId="0" fillId="4" borderId="37" xfId="0" applyFont="1" applyFill="1" applyBorder="1" applyAlignment="1">
      <alignment vertical="center"/>
    </xf>
    <xf numFmtId="0" fontId="0" fillId="4" borderId="79" xfId="0" applyFont="1" applyFill="1" applyBorder="1" applyAlignment="1">
      <alignment vertical="center"/>
    </xf>
    <xf numFmtId="0" fontId="38" fillId="0" borderId="0" xfId="0" applyFont="1" applyFill="1" applyBorder="1" applyAlignment="1" applyProtection="1">
      <alignment vertical="center"/>
      <protection locked="0"/>
    </xf>
    <xf numFmtId="0" fontId="35" fillId="0" borderId="1" xfId="0" applyFont="1" applyFill="1" applyBorder="1" applyAlignment="1" applyProtection="1">
      <alignment horizontal="left" vertical="center"/>
      <protection locked="0"/>
    </xf>
    <xf numFmtId="0" fontId="35" fillId="0" borderId="24" xfId="0" applyFont="1" applyFill="1" applyBorder="1" applyAlignment="1" applyProtection="1">
      <alignment horizontal="left" vertical="center"/>
      <protection locked="0"/>
    </xf>
    <xf numFmtId="0" fontId="35" fillId="0" borderId="2" xfId="0"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2"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49" fontId="0" fillId="0" borderId="1" xfId="0" applyNumberFormat="1"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left" vertical="center"/>
      <protection locked="0"/>
    </xf>
    <xf numFmtId="49" fontId="0" fillId="0" borderId="2" xfId="0" applyNumberFormat="1" applyFont="1" applyFill="1" applyBorder="1" applyAlignment="1" applyProtection="1">
      <alignment horizontal="left" vertical="center"/>
      <protection locked="0"/>
    </xf>
    <xf numFmtId="0" fontId="0" fillId="0" borderId="1" xfId="0"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23" fillId="3" borderId="1" xfId="0" applyFont="1" applyFill="1" applyBorder="1" applyAlignment="1">
      <alignment horizontal="center" vertical="center"/>
    </xf>
    <xf numFmtId="0" fontId="23" fillId="3" borderId="2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 xfId="0" applyFont="1" applyFill="1" applyBorder="1" applyAlignment="1">
      <alignment horizontal="center"/>
    </xf>
    <xf numFmtId="0" fontId="23" fillId="3" borderId="24" xfId="0" applyFont="1" applyFill="1" applyBorder="1" applyAlignment="1">
      <alignment horizontal="center"/>
    </xf>
    <xf numFmtId="0" fontId="23" fillId="3" borderId="2" xfId="0" applyFont="1" applyFill="1" applyBorder="1" applyAlignment="1">
      <alignment horizontal="center"/>
    </xf>
    <xf numFmtId="0" fontId="0" fillId="0" borderId="1"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16" borderId="1" xfId="0" applyFill="1" applyBorder="1" applyAlignment="1" applyProtection="1">
      <alignment horizontal="center"/>
      <protection locked="0"/>
    </xf>
    <xf numFmtId="0" fontId="0" fillId="16" borderId="24" xfId="0" applyFill="1" applyBorder="1" applyAlignment="1" applyProtection="1">
      <alignment horizontal="center"/>
      <protection locked="0"/>
    </xf>
    <xf numFmtId="0" fontId="0" fillId="16" borderId="2" xfId="0" applyFill="1" applyBorder="1" applyAlignment="1" applyProtection="1">
      <alignment horizontal="center"/>
      <protection locked="0"/>
    </xf>
    <xf numFmtId="0" fontId="23" fillId="14" borderId="0" xfId="0" applyFont="1" applyFill="1" applyAlignment="1">
      <alignment horizontal="center"/>
    </xf>
    <xf numFmtId="0" fontId="0" fillId="8" borderId="1" xfId="0" applyFill="1" applyBorder="1" applyAlignment="1" applyProtection="1">
      <alignment horizontal="center"/>
      <protection locked="0"/>
    </xf>
    <xf numFmtId="0" fontId="0" fillId="8" borderId="24" xfId="0" applyFill="1" applyBorder="1" applyAlignment="1" applyProtection="1">
      <alignment horizontal="center"/>
      <protection locked="0"/>
    </xf>
    <xf numFmtId="0" fontId="26" fillId="0" borderId="63" xfId="0" applyFont="1" applyBorder="1" applyAlignment="1">
      <alignment horizontal="center" vertical="top" wrapText="1"/>
    </xf>
    <xf numFmtId="0" fontId="26" fillId="0" borderId="64" xfId="0" applyFont="1" applyBorder="1" applyAlignment="1">
      <alignment horizontal="center" vertical="top" wrapText="1"/>
    </xf>
    <xf numFmtId="0" fontId="26" fillId="0" borderId="65" xfId="0" applyFont="1" applyBorder="1" applyAlignment="1">
      <alignment horizontal="center" vertical="top" wrapText="1"/>
    </xf>
    <xf numFmtId="0" fontId="9" fillId="3" borderId="14" xfId="0" applyFont="1" applyFill="1" applyBorder="1" applyAlignment="1" applyProtection="1">
      <alignment horizontal="center"/>
      <protection locked="0"/>
    </xf>
    <xf numFmtId="0" fontId="26" fillId="0" borderId="53" xfId="0" applyFont="1" applyBorder="1" applyAlignment="1">
      <alignment horizontal="center" vertical="top" wrapText="1"/>
    </xf>
    <xf numFmtId="0" fontId="26" fillId="0" borderId="52" xfId="0" applyFont="1" applyBorder="1" applyAlignment="1">
      <alignment horizontal="center" vertical="top" wrapText="1"/>
    </xf>
    <xf numFmtId="0" fontId="26" fillId="0" borderId="54" xfId="0" applyFont="1" applyBorder="1" applyAlignment="1">
      <alignment horizontal="center" vertical="top" wrapText="1"/>
    </xf>
    <xf numFmtId="0" fontId="22" fillId="0" borderId="14" xfId="0" applyFont="1" applyBorder="1" applyAlignment="1">
      <alignment horizontal="left" vertical="center"/>
    </xf>
    <xf numFmtId="0" fontId="22" fillId="0" borderId="14" xfId="3" applyFont="1" applyFill="1" applyBorder="1" applyAlignment="1">
      <alignment horizontal="left"/>
    </xf>
    <xf numFmtId="0" fontId="22" fillId="0" borderId="14" xfId="2" applyFont="1" applyBorder="1" applyAlignment="1">
      <alignment horizontal="left"/>
    </xf>
    <xf numFmtId="0" fontId="22" fillId="0" borderId="14" xfId="3" applyFont="1" applyBorder="1" applyAlignment="1">
      <alignment horizontal="left"/>
    </xf>
    <xf numFmtId="0" fontId="45" fillId="13" borderId="0" xfId="0" applyFont="1" applyFill="1" applyAlignment="1">
      <alignment horizontal="center"/>
    </xf>
    <xf numFmtId="0" fontId="47" fillId="13" borderId="0" xfId="0" applyFont="1" applyFill="1" applyAlignment="1">
      <alignment horizontal="center"/>
    </xf>
  </cellXfs>
  <cellStyles count="19">
    <cellStyle name="Currency" xfId="18" builtinId="4"/>
    <cellStyle name="Neutral 2" xfId="6" xr:uid="{00000000-0005-0000-0000-000001000000}"/>
    <cellStyle name="Neutral 3" xfId="7" xr:uid="{00000000-0005-0000-0000-000002000000}"/>
    <cellStyle name="Neutral 4" xfId="8" xr:uid="{00000000-0005-0000-0000-000003000000}"/>
    <cellStyle name="Neutral 5" xfId="9" xr:uid="{00000000-0005-0000-0000-000004000000}"/>
    <cellStyle name="Neutral 6" xfId="10" xr:uid="{00000000-0005-0000-0000-000005000000}"/>
    <cellStyle name="Neutral 7" xfId="11" xr:uid="{00000000-0005-0000-0000-000006000000}"/>
    <cellStyle name="Neutral 8" xfId="12" xr:uid="{00000000-0005-0000-0000-000007000000}"/>
    <cellStyle name="Neutral 9" xfId="13" xr:uid="{00000000-0005-0000-0000-000008000000}"/>
    <cellStyle name="Normal" xfId="0" builtinId="0"/>
    <cellStyle name="Normal 2" xfId="14" xr:uid="{00000000-0005-0000-0000-00000A000000}"/>
    <cellStyle name="Normal 3" xfId="1" xr:uid="{00000000-0005-0000-0000-00000B000000}"/>
    <cellStyle name="Normal 4" xfId="5" xr:uid="{00000000-0005-0000-0000-00000C000000}"/>
    <cellStyle name="Normal 5" xfId="15" xr:uid="{00000000-0005-0000-0000-00000D000000}"/>
    <cellStyle name="Normal 6" xfId="16" xr:uid="{00000000-0005-0000-0000-00000E000000}"/>
    <cellStyle name="Normal 7" xfId="2" xr:uid="{00000000-0005-0000-0000-00000F000000}"/>
    <cellStyle name="Normal 8" xfId="3" xr:uid="{00000000-0005-0000-0000-000010000000}"/>
    <cellStyle name="Normal 9" xfId="17" xr:uid="{00000000-0005-0000-0000-000011000000}"/>
    <cellStyle name="Normal_Categories 2" xfId="4" xr:uid="{00000000-0005-0000-0000-000012000000}"/>
  </cellStyles>
  <dxfs count="41">
    <dxf>
      <font>
        <color theme="0" tint="-0.24994659260841701"/>
      </font>
      <border>
        <left style="thin">
          <color auto="1"/>
        </left>
        <right/>
        <top/>
        <bottom/>
        <vertical/>
        <horizontal/>
      </border>
    </dxf>
    <dxf>
      <fill>
        <patternFill>
          <bgColor theme="6" tint="0.79998168889431442"/>
        </patternFill>
      </fill>
      <border>
        <left style="thin">
          <color auto="1"/>
        </left>
        <right style="thin">
          <color auto="1"/>
        </right>
        <top style="thin">
          <color theme="0" tint="-0.24994659260841701"/>
        </top>
        <bottom style="thin">
          <color auto="1"/>
        </bottom>
        <vertical/>
        <horizontal/>
      </border>
    </dxf>
    <dxf>
      <fill>
        <patternFill>
          <bgColor theme="6" tint="0.79998168889431442"/>
        </patternFill>
      </fill>
      <border>
        <left style="thin">
          <color auto="1"/>
        </left>
        <right style="thin">
          <color auto="1"/>
        </right>
        <top style="thin">
          <color auto="1"/>
        </top>
        <bottom style="thin">
          <color theme="0" tint="-0.24994659260841701"/>
        </bottom>
        <vertical/>
        <horizontal/>
      </border>
    </dxf>
    <dxf>
      <fill>
        <patternFill>
          <bgColor theme="6" tint="0.79998168889431442"/>
        </patternFill>
      </fill>
      <border>
        <left style="thin">
          <color auto="1"/>
        </left>
        <right style="thin">
          <color auto="1"/>
        </right>
        <top style="thin">
          <color theme="0" tint="-0.24994659260841701"/>
        </top>
        <bottom style="thin">
          <color theme="0" tint="-0.24994659260841701"/>
        </bottom>
        <vertical/>
        <horizontal/>
      </border>
    </dxf>
    <dxf>
      <fill>
        <patternFill>
          <bgColor theme="6" tint="0.79998168889431442"/>
        </patternFill>
      </fill>
      <border>
        <left style="thin">
          <color auto="1"/>
        </left>
        <right style="thin">
          <color auto="1"/>
        </right>
        <top style="thin">
          <color theme="0" tint="-0.24994659260841701"/>
        </top>
        <bottom style="thin">
          <color theme="0" tint="-0.24994659260841701"/>
        </bottom>
        <vertical/>
        <horizontal/>
      </border>
    </dxf>
    <dxf>
      <fill>
        <patternFill>
          <bgColor rgb="FFFFFFCC"/>
        </patternFill>
      </fill>
      <border>
        <left style="thin">
          <color auto="1"/>
        </left>
        <right style="thin">
          <color auto="1"/>
        </right>
        <top style="thin">
          <color theme="0" tint="-0.24994659260841701"/>
        </top>
        <bottom style="thin">
          <color auto="1"/>
        </bottom>
        <vertical/>
        <horizontal/>
      </border>
    </dxf>
    <dxf>
      <fill>
        <patternFill>
          <bgColor theme="6" tint="0.79998168889431442"/>
        </patternFill>
      </fill>
      <border>
        <left style="thin">
          <color auto="1"/>
        </left>
        <right style="thin">
          <color auto="1"/>
        </right>
        <top style="thin">
          <color auto="1"/>
        </top>
        <bottom style="thin">
          <color theme="0" tint="-0.24994659260841701"/>
        </bottom>
        <vertical/>
        <horizontal/>
      </border>
    </dxf>
    <dxf>
      <fill>
        <patternFill>
          <bgColor rgb="FFFFFFCC"/>
        </patternFill>
      </fill>
      <border>
        <left style="thin">
          <color auto="1"/>
        </left>
        <right style="thin">
          <color auto="1"/>
        </right>
        <top style="thin">
          <color auto="1"/>
        </top>
        <bottom style="thin">
          <color theme="0" tint="-0.24994659260841701"/>
        </bottom>
        <vertical/>
        <horizontal/>
      </border>
    </dxf>
    <dxf>
      <fill>
        <patternFill>
          <bgColor theme="7" tint="0.79998168889431442"/>
        </patternFill>
      </fill>
      <border>
        <left style="thin">
          <color auto="1"/>
        </left>
        <right style="thin">
          <color auto="1"/>
        </right>
        <top style="thin">
          <color auto="1"/>
        </top>
        <bottom style="thin">
          <color theme="0" tint="-0.24994659260841701"/>
        </bottom>
        <vertical/>
        <horizontal/>
      </border>
    </dxf>
    <dxf>
      <fill>
        <patternFill>
          <bgColor theme="7" tint="0.79998168889431442"/>
        </patternFill>
      </fill>
      <border>
        <left style="thin">
          <color auto="1"/>
        </left>
        <right style="thin">
          <color auto="1"/>
        </right>
        <top style="thin">
          <color theme="0" tint="-0.24994659260841701"/>
        </top>
        <bottom style="thin">
          <color auto="1"/>
        </bottom>
        <vertical/>
        <horizontal/>
      </border>
    </dxf>
    <dxf>
      <fill>
        <patternFill>
          <bgColor theme="7" tint="0.79998168889431442"/>
        </patternFill>
      </fill>
      <border>
        <left style="thin">
          <color auto="1"/>
        </left>
        <right style="thin">
          <color auto="1"/>
        </right>
        <top style="thin">
          <color theme="0" tint="-0.24994659260841701"/>
        </top>
        <bottom style="thin">
          <color theme="0" tint="-0.24994659260841701"/>
        </bottom>
        <vertical/>
        <horizontal/>
      </border>
    </dxf>
    <dxf>
      <fill>
        <patternFill>
          <bgColor theme="7" tint="0.79998168889431442"/>
        </patternFill>
      </fill>
      <border>
        <left style="thin">
          <color auto="1"/>
        </left>
        <right style="thin">
          <color auto="1"/>
        </right>
        <top style="thin">
          <color auto="1"/>
        </top>
        <bottom style="thin">
          <color theme="0" tint="-0.24994659260841701"/>
        </bottom>
        <vertical/>
        <horizontal/>
      </border>
    </dxf>
    <dxf>
      <font>
        <color theme="0" tint="-0.24994659260841701"/>
      </font>
      <fill>
        <patternFill>
          <bgColor theme="0" tint="-0.24994659260841701"/>
        </patternFill>
      </fill>
      <border>
        <left/>
        <right/>
        <top style="thin">
          <color auto="1"/>
        </top>
        <bottom/>
        <vertical/>
        <horizontal/>
      </border>
    </dxf>
    <dxf>
      <font>
        <color theme="0" tint="-0.24994659260841701"/>
      </font>
      <fill>
        <patternFill>
          <bgColor theme="0" tint="-0.24994659260841701"/>
        </patternFill>
      </fill>
      <border>
        <left/>
        <right/>
        <top style="thin">
          <color auto="1"/>
        </top>
        <bottom style="thin">
          <color auto="1"/>
        </bottom>
        <vertical/>
        <horizontal/>
      </border>
    </dxf>
    <dxf>
      <font>
        <color theme="0" tint="-0.24994659260841701"/>
      </font>
      <fill>
        <patternFill>
          <bgColor theme="0" tint="-0.24994659260841701"/>
        </patternFill>
      </fill>
      <border>
        <left/>
        <right/>
        <top/>
        <bottom style="thin">
          <color auto="1"/>
        </bottom>
        <vertical/>
        <horizontal/>
      </border>
    </dxf>
    <dxf>
      <font>
        <color theme="0" tint="-0.24994659260841701"/>
      </font>
      <fill>
        <patternFill>
          <bgColor theme="0" tint="-0.24994659260841701"/>
        </patternFill>
      </fill>
      <border>
        <left/>
        <right/>
        <top style="thin">
          <color auto="1"/>
        </top>
        <bottom style="thin">
          <color auto="1"/>
        </bottom>
        <vertical/>
        <horizontal/>
      </border>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style="thin">
          <color auto="1"/>
        </top>
        <bottom/>
        <vertical/>
        <horizontal/>
      </border>
    </dxf>
    <dxf>
      <font>
        <b val="0"/>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val="0"/>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theme="0" tint="-0.24994659260841701"/>
      </font>
      <fill>
        <patternFill>
          <bgColor theme="0" tint="-0.24994659260841701"/>
        </patternFill>
      </fill>
      <border>
        <left/>
        <right style="thin">
          <color auto="1"/>
        </right>
        <top/>
        <bottom style="thin">
          <color auto="1"/>
        </bottom>
        <vertical/>
        <horizontal/>
      </border>
    </dxf>
    <dxf>
      <font>
        <color theme="0" tint="-0.24994659260841701"/>
      </font>
      <fill>
        <patternFill>
          <bgColor theme="0" tint="-0.24994659260841701"/>
        </patternFill>
      </fill>
      <border>
        <left/>
        <right style="thin">
          <color auto="1"/>
        </right>
        <top style="thin">
          <color auto="1"/>
        </top>
        <bottom style="thin">
          <color auto="1"/>
        </bottom>
        <vertical/>
        <horizontal/>
      </border>
    </dxf>
    <dxf>
      <font>
        <b val="0"/>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theme="0" tint="-0.24994659260841701"/>
      </font>
      <fill>
        <patternFill>
          <bgColor theme="0" tint="-0.24994659260841701"/>
        </patternFill>
      </fill>
      <border>
        <left/>
        <right style="thin">
          <color auto="1"/>
        </right>
        <top/>
        <bottom/>
        <vertical/>
        <horizontal/>
      </border>
    </dxf>
    <dxf>
      <font>
        <b val="0"/>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theme="0" tint="-0.24994659260841701"/>
      </font>
      <fill>
        <patternFill>
          <bgColor theme="0" tint="-0.24994659260841701"/>
        </patternFill>
      </fill>
      <border>
        <left/>
        <right style="thin">
          <color auto="1"/>
        </right>
        <top style="thin">
          <color auto="1"/>
        </top>
        <bottom/>
        <vertical/>
        <horizontal/>
      </border>
    </dxf>
    <dxf>
      <font>
        <color theme="0" tint="-0.24994659260841701"/>
      </font>
      <fill>
        <patternFill>
          <bgColor theme="0" tint="-0.24994659260841701"/>
        </patternFill>
      </fill>
      <border>
        <left/>
        <right style="thin">
          <color auto="1"/>
        </right>
        <top style="thin">
          <color auto="1"/>
        </top>
        <bottom style="thin">
          <color auto="1"/>
        </bottom>
        <vertical/>
        <horizontal/>
      </border>
    </dxf>
    <dxf>
      <font>
        <b val="0"/>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val="0"/>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theme="0" tint="-0.24994659260841701"/>
      </font>
      <fill>
        <patternFill>
          <bgColor theme="0" tint="-0.24994659260841701"/>
        </patternFill>
      </fill>
      <border>
        <left/>
        <right style="thin">
          <color auto="1"/>
        </right>
        <top/>
        <bottom style="thin">
          <color auto="1"/>
        </bottom>
        <vertical/>
        <horizontal/>
      </border>
    </dxf>
    <dxf>
      <font>
        <color theme="0" tint="-0.24994659260841701"/>
      </font>
      <fill>
        <patternFill>
          <bgColor theme="0" tint="-0.24994659260841701"/>
        </patternFill>
      </fill>
      <border>
        <left/>
        <right style="thin">
          <color auto="1"/>
        </right>
        <top style="thin">
          <color auto="1"/>
        </top>
        <bottom style="thin">
          <color auto="1"/>
        </bottom>
        <vertical/>
        <horizontal/>
      </border>
    </dxf>
    <dxf>
      <font>
        <b val="0"/>
        <i/>
        <color rgb="FFC00000"/>
      </font>
      <fill>
        <patternFill>
          <bgColor theme="5" tint="0.79998168889431442"/>
        </patternFill>
      </fill>
      <border>
        <left style="thin">
          <color rgb="FFC00000"/>
        </left>
        <right style="thin">
          <color rgb="FFC00000"/>
        </right>
        <top style="thin">
          <color rgb="FFC00000"/>
        </top>
        <bottom style="thin">
          <color rgb="FFC00000"/>
        </bottom>
      </border>
    </dxf>
    <dxf>
      <font>
        <color theme="0" tint="-0.24994659260841701"/>
      </font>
      <fill>
        <patternFill>
          <bgColor theme="0" tint="-0.24994659260841701"/>
        </patternFill>
      </fill>
      <border>
        <left/>
        <right style="thin">
          <color auto="1"/>
        </right>
        <top/>
        <bottom/>
        <vertical/>
        <horizontal/>
      </border>
    </dxf>
    <dxf>
      <font>
        <b val="0"/>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theme="0" tint="-0.24994659260841701"/>
      </font>
      <fill>
        <patternFill>
          <bgColor theme="0" tint="-0.24994659260841701"/>
        </patternFill>
      </fill>
      <border>
        <left/>
        <right style="thin">
          <color auto="1"/>
        </right>
        <top style="thin">
          <color auto="1"/>
        </top>
        <bottom/>
        <vertical/>
        <horizontal/>
      </border>
    </dxf>
    <dxf>
      <font>
        <b val="0"/>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ill>
        <patternFill patternType="none">
          <bgColor indexed="65"/>
        </patternFill>
      </fill>
      <border>
        <left style="thin">
          <color indexed="64"/>
        </left>
        <right style="thin">
          <color indexed="64"/>
        </right>
        <top style="thin">
          <color theme="0" tint="-0.34998626667073579"/>
        </top>
        <bottom style="thin">
          <color indexed="64"/>
        </bottom>
      </border>
    </dxf>
    <dxf>
      <font>
        <b val="0"/>
        <i/>
        <color rgb="FFC00000"/>
      </font>
    </dxf>
    <dxf>
      <font>
        <b val="0"/>
        <i/>
        <color rgb="FFC00000"/>
      </font>
    </dxf>
    <dxf>
      <font>
        <color theme="0" tint="-0.24994659260841701"/>
      </font>
      <fill>
        <patternFill>
          <bgColor theme="0" tint="-0.24994659260841701"/>
        </patternFill>
      </fill>
      <border>
        <left/>
        <right/>
        <top/>
        <bottom/>
        <vertical/>
        <horizontal/>
      </border>
    </dxf>
    <dxf>
      <font>
        <color theme="0" tint="-0.24994659260841701"/>
      </font>
      <fill>
        <patternFill>
          <bgColor theme="0" tint="-0.24994659260841701"/>
        </patternFill>
      </fill>
      <border>
        <left/>
        <right/>
        <top/>
        <bottom/>
        <vertical/>
        <horizontal/>
      </border>
    </dxf>
  </dxfs>
  <tableStyles count="0" defaultTableStyle="TableStyleMedium9" defaultPivotStyle="PivotStyleLight16"/>
  <colors>
    <mruColors>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15240</xdr:colOff>
      <xdr:row>6</xdr:row>
      <xdr:rowOff>76200</xdr:rowOff>
    </xdr:from>
    <xdr:to>
      <xdr:col>18</xdr:col>
      <xdr:colOff>0</xdr:colOff>
      <xdr:row>16</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101840" y="1400175"/>
          <a:ext cx="3642360" cy="1695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EPA Method 1314 Data Template</a:t>
          </a:r>
          <a:r>
            <a:rPr lang="en-US" sz="1100" b="1" baseline="0"/>
            <a:t>:</a:t>
          </a:r>
        </a:p>
        <a:p>
          <a:r>
            <a:rPr lang="en-US" sz="1100"/>
            <a:t>This Excel</a:t>
          </a:r>
          <a:r>
            <a:rPr lang="en-US" sz="1100" baseline="0"/>
            <a:t> workbook can be used to document and archive labortatory data and analytical results of EPA Method 1314.  </a:t>
          </a:r>
        </a:p>
        <a:p>
          <a:endParaRPr lang="en-US" sz="1100" baseline="0"/>
        </a:p>
        <a:p>
          <a:r>
            <a:rPr lang="en-US" sz="1100" baseline="0"/>
            <a:t>In addition, the date in a completed data template is formatted to be compatible with the data upload tool contained in LeachXS Lite</a:t>
          </a:r>
          <a:r>
            <a:rPr lang="en-US" sz="1100" baseline="30000"/>
            <a:t>TM</a:t>
          </a:r>
          <a:r>
            <a:rPr lang="en-US" sz="1100" baseline="0"/>
            <a:t>. Data shown in </a:t>
          </a:r>
          <a:r>
            <a:rPr lang="en-US" sz="1100" b="1" baseline="0">
              <a:solidFill>
                <a:srgbClr val="C00000"/>
              </a:solidFill>
            </a:rPr>
            <a:t>bold red</a:t>
          </a:r>
          <a:r>
            <a:rPr lang="en-US" sz="1100" baseline="0"/>
            <a:t> </a:t>
          </a:r>
          <a:r>
            <a:rPr lang="en-US" sz="1100" b="1" baseline="0">
              <a:solidFill>
                <a:srgbClr val="C00000"/>
              </a:solidFill>
            </a:rPr>
            <a:t>text </a:t>
          </a:r>
          <a:r>
            <a:rPr lang="en-US" sz="1100" baseline="0"/>
            <a:t>in the "Title Sheet", "Eluate Collection" and "Analytical Data" tabs are required for a successful upload.  </a:t>
          </a:r>
          <a:endParaRPr lang="en-US" sz="1100"/>
        </a:p>
      </xdr:txBody>
    </xdr:sp>
    <xdr:clientData/>
  </xdr:twoCellAnchor>
  <xdr:twoCellAnchor>
    <xdr:from>
      <xdr:col>12</xdr:col>
      <xdr:colOff>9525</xdr:colOff>
      <xdr:row>17</xdr:row>
      <xdr:rowOff>0</xdr:rowOff>
    </xdr:from>
    <xdr:to>
      <xdr:col>18</xdr:col>
      <xdr:colOff>1905</xdr:colOff>
      <xdr:row>40</xdr:row>
      <xdr:rowOff>38101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96125" y="3152775"/>
          <a:ext cx="3649980" cy="336232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Note for Coal Combustion Residue (CCR) Materials:</a:t>
          </a:r>
        </a:p>
        <a:p>
          <a:r>
            <a:rPr lang="en-US" sz="1100"/>
            <a:t>If the material to</a:t>
          </a:r>
          <a:r>
            <a:rPr lang="en-US" sz="1100" baseline="0"/>
            <a:t> be tested is a residual from combustion of coal, t</a:t>
          </a:r>
          <a:r>
            <a:rPr lang="en-US" sz="1100"/>
            <a:t>his </a:t>
          </a:r>
          <a:r>
            <a:rPr lang="en-US" sz="1100" baseline="0"/>
            <a:t>workbook contains a hidden tab that can be used record additional source-specific information about the CCR material and how it was produced.  </a:t>
          </a:r>
        </a:p>
        <a:p>
          <a:endParaRPr lang="en-US" sz="1100" baseline="0"/>
        </a:p>
        <a:p>
          <a:r>
            <a:rPr lang="en-US" sz="1100" baseline="0"/>
            <a:t>To unhide the "Material Classification" tab:</a:t>
          </a:r>
        </a:p>
        <a:p>
          <a:r>
            <a:rPr lang="en-US" sz="1100" baseline="0"/>
            <a:t>   ●  Hover the cursor over the "Mositure Content" tab.</a:t>
          </a:r>
        </a:p>
        <a:p>
          <a:r>
            <a:rPr lang="en-US" sz="1100" baseline="0"/>
            <a:t>   ●  Right click to open the context-sensitive menu and select "Unhide" from the menu list.</a:t>
          </a:r>
        </a:p>
        <a:p>
          <a:r>
            <a:rPr lang="en-US" sz="1100" baseline="0"/>
            <a:t>   ●  Select "Material Classification" from the list of hidden tabs and click "OK". </a:t>
          </a:r>
        </a:p>
        <a:p>
          <a:r>
            <a:rPr lang="en-US" sz="1100" baseline="0"/>
            <a:t>   ●  The "Material Classification" tab should be revealed.</a:t>
          </a:r>
        </a:p>
        <a:p>
          <a:endParaRPr lang="en-US" sz="1100" baseline="0"/>
        </a:p>
        <a:p>
          <a:r>
            <a:rPr lang="en-US" sz="1100" baseline="0"/>
            <a:t>To hide the "Material Classification" tab:</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  Hover the cursor over the "Material Classification" tab.</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  Right click to open the context-sensitive menu and select "Hide" from the menu list.</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  The "Material Classification" tab should be hidden.</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104776</xdr:colOff>
      <xdr:row>1</xdr:row>
      <xdr:rowOff>76200</xdr:rowOff>
    </xdr:from>
    <xdr:to>
      <xdr:col>10</xdr:col>
      <xdr:colOff>66676</xdr:colOff>
      <xdr:row>9</xdr:row>
      <xdr:rowOff>19050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295651" y="323850"/>
          <a:ext cx="2800350" cy="14668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Material</a:t>
          </a:r>
          <a:r>
            <a:rPr lang="en-US" sz="1100" b="1" baseline="0"/>
            <a:t> Classification Information:</a:t>
          </a:r>
        </a:p>
        <a:p>
          <a:r>
            <a:rPr lang="en-US" sz="1100"/>
            <a:t>This optional information</a:t>
          </a:r>
          <a:r>
            <a:rPr lang="en-US" sz="1100" baseline="0"/>
            <a:t> is used in LeachXS Lite to sort the database for similar materials (e.g., class F coal fly ash generated from eastern bituminuous coal at a facility using ESP particulate capture and SCR NOx control).  In future versions of this template, this page will be extended for other types of materials.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19</xdr:row>
      <xdr:rowOff>0</xdr:rowOff>
    </xdr:from>
    <xdr:to>
      <xdr:col>11</xdr:col>
      <xdr:colOff>19050</xdr:colOff>
      <xdr:row>22</xdr:row>
      <xdr:rowOff>28575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04825" y="3867150"/>
          <a:ext cx="5495925" cy="6286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a:t>
          </a:r>
          <a:r>
            <a:rPr lang="en-US" sz="1200" b="1" baseline="0">
              <a:solidFill>
                <a:sysClr val="windowText" lastClr="000000"/>
              </a:solidFill>
            </a:rPr>
            <a:t> 5</a:t>
          </a:r>
          <a:r>
            <a:rPr lang="en-US" sz="1200" b="1">
              <a:solidFill>
                <a:sysClr val="windowText" lastClr="000000"/>
              </a:solidFill>
            </a:rPr>
            <a:t>:</a:t>
          </a:r>
          <a:r>
            <a:rPr lang="en-US" sz="1200">
              <a:solidFill>
                <a:sysClr val="windowText" lastClr="000000"/>
              </a:solidFill>
            </a:rPr>
            <a:t> </a:t>
          </a:r>
          <a:r>
            <a:rPr lang="en-US" sz="1200" baseline="0">
              <a:solidFill>
                <a:sysClr val="windowText" lastClr="000000"/>
              </a:solidFill>
            </a:rPr>
            <a:t>Moisture and solids content are calculated automatically.  Mean SC cell may be linked to the solids content cells in Pre-Test data and Test Data sheets.  Alternately, copy the Mean SC cell value to these sheets.</a:t>
          </a:r>
          <a:endParaRPr lang="en-US" sz="1200">
            <a:solidFill>
              <a:sysClr val="windowText" lastClr="000000"/>
            </a:solidFill>
          </a:endParaRPr>
        </a:p>
      </xdr:txBody>
    </xdr:sp>
    <xdr:clientData/>
  </xdr:twoCellAnchor>
  <xdr:twoCellAnchor>
    <xdr:from>
      <xdr:col>2</xdr:col>
      <xdr:colOff>9525</xdr:colOff>
      <xdr:row>4</xdr:row>
      <xdr:rowOff>0</xdr:rowOff>
    </xdr:from>
    <xdr:to>
      <xdr:col>11</xdr:col>
      <xdr:colOff>9525</xdr:colOff>
      <xdr:row>6</xdr:row>
      <xdr:rowOff>57150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04825" y="866775"/>
          <a:ext cx="5486400" cy="4572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1</a:t>
          </a:r>
          <a:r>
            <a:rPr lang="en-US" sz="1200">
              <a:solidFill>
                <a:sysClr val="windowText" lastClr="000000"/>
              </a:solidFill>
            </a:rPr>
            <a:t>: Enter the project,</a:t>
          </a:r>
          <a:r>
            <a:rPr lang="en-US" sz="1200" baseline="0">
              <a:solidFill>
                <a:sysClr val="windowText" lastClr="000000"/>
              </a:solidFill>
            </a:rPr>
            <a:t> material and replicate codes as well as the name of the technician conducting the test. </a:t>
          </a:r>
          <a:endParaRPr lang="en-US" sz="1200">
            <a:solidFill>
              <a:sysClr val="windowText" lastClr="000000"/>
            </a:solidFill>
          </a:endParaRPr>
        </a:p>
      </xdr:txBody>
    </xdr:sp>
    <xdr:clientData/>
  </xdr:twoCellAnchor>
  <xdr:twoCellAnchor>
    <xdr:from>
      <xdr:col>2</xdr:col>
      <xdr:colOff>0</xdr:colOff>
      <xdr:row>6</xdr:row>
      <xdr:rowOff>200024</xdr:rowOff>
    </xdr:from>
    <xdr:to>
      <xdr:col>11</xdr:col>
      <xdr:colOff>0</xdr:colOff>
      <xdr:row>10</xdr:row>
      <xdr:rowOff>19049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95300" y="1466849"/>
          <a:ext cx="5486400" cy="6191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2</a:t>
          </a:r>
          <a:r>
            <a:rPr lang="en-US" sz="1200">
              <a:solidFill>
                <a:sysClr val="windowText" lastClr="000000"/>
              </a:solidFill>
            </a:rPr>
            <a:t>: Measure and record</a:t>
          </a:r>
          <a:r>
            <a:rPr lang="en-US" sz="1200" baseline="0">
              <a:solidFill>
                <a:sysClr val="windowText" lastClr="000000"/>
              </a:solidFill>
            </a:rPr>
            <a:t> the mass of an empty drying or suitable weighing dish as well as the dish containing 5-10 g the "wet" sample.  Record data and time of measurement.  Place dish and sample into over at 105±5 </a:t>
          </a:r>
          <a:r>
            <a:rPr lang="en-US" sz="1200" baseline="30000">
              <a:solidFill>
                <a:sysClr val="windowText" lastClr="000000"/>
              </a:solidFill>
            </a:rPr>
            <a:t>o</a:t>
          </a:r>
          <a:r>
            <a:rPr lang="en-US" sz="1200" baseline="0">
              <a:solidFill>
                <a:sysClr val="windowText" lastClr="000000"/>
              </a:solidFill>
            </a:rPr>
            <a:t>C for a minimum of 24 hr.</a:t>
          </a:r>
          <a:endParaRPr lang="en-US" sz="1200">
            <a:solidFill>
              <a:sysClr val="windowText" lastClr="000000"/>
            </a:solidFill>
          </a:endParaRPr>
        </a:p>
      </xdr:txBody>
    </xdr:sp>
    <xdr:clientData/>
  </xdr:twoCellAnchor>
  <xdr:twoCellAnchor>
    <xdr:from>
      <xdr:col>2</xdr:col>
      <xdr:colOff>0</xdr:colOff>
      <xdr:row>10</xdr:row>
      <xdr:rowOff>190499</xdr:rowOff>
    </xdr:from>
    <xdr:to>
      <xdr:col>11</xdr:col>
      <xdr:colOff>0</xdr:colOff>
      <xdr:row>14</xdr:row>
      <xdr:rowOff>9525</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495300" y="2257424"/>
          <a:ext cx="5486400" cy="61912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3</a:t>
          </a:r>
          <a:r>
            <a:rPr lang="en-US" sz="1200">
              <a:solidFill>
                <a:sysClr val="windowText" lastClr="000000"/>
              </a:solidFill>
            </a:rPr>
            <a:t>: Remove dish and sample from oven and allow </a:t>
          </a:r>
          <a:r>
            <a:rPr lang="en-US" sz="1200" baseline="0">
              <a:solidFill>
                <a:sysClr val="windowText" lastClr="000000"/>
              </a:solidFill>
            </a:rPr>
            <a:t>to cool to room temperature in a desiccator.  </a:t>
          </a:r>
          <a:r>
            <a:rPr lang="en-US" sz="1200">
              <a:solidFill>
                <a:sysClr val="windowText" lastClr="000000"/>
              </a:solidFill>
            </a:rPr>
            <a:t>Measure and record</a:t>
          </a:r>
          <a:r>
            <a:rPr lang="en-US" sz="1200" baseline="0">
              <a:solidFill>
                <a:sysClr val="windowText" lastClr="000000"/>
              </a:solidFill>
            </a:rPr>
            <a:t> the mass of the dish and dry sample.  Place the dish and sample back into the oven for at least another 24-hr period.</a:t>
          </a:r>
          <a:endParaRPr lang="en-US" sz="1200">
            <a:solidFill>
              <a:sysClr val="windowText" lastClr="000000"/>
            </a:solidFill>
          </a:endParaRPr>
        </a:p>
      </xdr:txBody>
    </xdr:sp>
    <xdr:clientData/>
  </xdr:twoCellAnchor>
  <xdr:twoCellAnchor>
    <xdr:from>
      <xdr:col>2</xdr:col>
      <xdr:colOff>0</xdr:colOff>
      <xdr:row>15</xdr:row>
      <xdr:rowOff>2</xdr:rowOff>
    </xdr:from>
    <xdr:to>
      <xdr:col>10</xdr:col>
      <xdr:colOff>600075</xdr:colOff>
      <xdr:row>18</xdr:row>
      <xdr:rowOff>38100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495300" y="3067052"/>
          <a:ext cx="5476875" cy="63817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4</a:t>
          </a:r>
          <a:r>
            <a:rPr lang="en-US" sz="1200">
              <a:solidFill>
                <a:sysClr val="windowText" lastClr="000000"/>
              </a:solidFill>
            </a:rPr>
            <a:t>: Repeat</a:t>
          </a:r>
          <a:r>
            <a:rPr lang="en-US" sz="1200" baseline="0">
              <a:solidFill>
                <a:sysClr val="windowText" lastClr="000000"/>
              </a:solidFill>
            </a:rPr>
            <a:t> cooling and measurement procedure as shown in Step 3 until constant mass of the dish and sample is accheived.  Record this mass and the final date and time.  Discard the sample.  </a:t>
          </a:r>
          <a:endParaRPr lang="en-US" sz="1200">
            <a:solidFill>
              <a:sysClr val="windowText" lastClr="000000"/>
            </a:solidFill>
          </a:endParaRPr>
        </a:p>
      </xdr:txBody>
    </xdr:sp>
    <xdr:clientData/>
  </xdr:twoCellAnchor>
  <xdr:twoCellAnchor>
    <xdr:from>
      <xdr:col>0</xdr:col>
      <xdr:colOff>0</xdr:colOff>
      <xdr:row>0</xdr:row>
      <xdr:rowOff>0</xdr:rowOff>
    </xdr:from>
    <xdr:to>
      <xdr:col>0</xdr:col>
      <xdr:colOff>409575</xdr:colOff>
      <xdr:row>48</xdr:row>
      <xdr:rowOff>28575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0" y="0"/>
          <a:ext cx="409575" cy="927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lnSpc>
              <a:spcPct val="80000"/>
            </a:lnSpc>
          </a:pPr>
          <a:r>
            <a:rPr lang="en-US" sz="2400" b="1" baseline="0">
              <a:solidFill>
                <a:sysClr val="windowText" lastClr="000000"/>
              </a:solidFill>
            </a:rPr>
            <a:t>ASSISTANCE</a:t>
          </a:r>
          <a:r>
            <a:rPr lang="en-US" sz="2400" b="1">
              <a:solidFill>
                <a:sysClr val="windowText" lastClr="000000"/>
              </a:solidFill>
            </a:rPr>
            <a:t>: </a:t>
          </a:r>
          <a:r>
            <a:rPr lang="en-US" sz="2400" b="1" baseline="0">
              <a:solidFill>
                <a:sysClr val="windowText" lastClr="000000"/>
              </a:solidFill>
            </a:rPr>
            <a:t> </a:t>
          </a:r>
          <a:r>
            <a:rPr lang="en-US" sz="1800" b="0" baseline="0">
              <a:solidFill>
                <a:sysClr val="windowText" lastClr="000000"/>
              </a:solidFill>
            </a:rPr>
            <a:t>(unhide columns B-M)</a:t>
          </a:r>
          <a:endParaRPr lang="en-US" sz="1800" b="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219075</xdr:colOff>
      <xdr:row>2</xdr:row>
      <xdr:rowOff>180975</xdr:rowOff>
    </xdr:from>
    <xdr:to>
      <xdr:col>35</xdr:col>
      <xdr:colOff>38100</xdr:colOff>
      <xdr:row>13</xdr:row>
      <xdr:rowOff>142875</xdr:rowOff>
    </xdr:to>
    <xdr:sp macro="" textlink="">
      <xdr:nvSpPr>
        <xdr:cNvPr id="2" name="TextBox 1">
          <a:extLst>
            <a:ext uri="{FF2B5EF4-FFF2-40B4-BE49-F238E27FC236}">
              <a16:creationId xmlns:a16="http://schemas.microsoft.com/office/drawing/2014/main" id="{00000000-0008-0000-0300-000002000000}"/>
            </a:ext>
          </a:extLst>
        </xdr:cNvPr>
        <xdr:cNvSpPr txBox="1">
          <a:spLocks noChangeArrowheads="1"/>
        </xdr:cNvSpPr>
      </xdr:nvSpPr>
      <xdr:spPr bwMode="auto">
        <a:xfrm>
          <a:off x="10763250" y="619125"/>
          <a:ext cx="4305300" cy="2057400"/>
        </a:xfrm>
        <a:prstGeom prst="rect">
          <a:avLst/>
        </a:prstGeom>
        <a:solidFill>
          <a:schemeClr val="accent3">
            <a:lumMod val="20000"/>
            <a:lumOff val="80000"/>
          </a:schemeClr>
        </a:solidFill>
        <a:ln w="9525">
          <a:solidFill>
            <a:srgbClr val="BCBCBC"/>
          </a:solidFill>
          <a:miter lim="800000"/>
          <a:headEnd/>
          <a:tailEnd/>
        </a:ln>
      </xdr:spPr>
      <xdr:txBody>
        <a:bodyPr vertOverflow="clip" wrap="square" lIns="91440" tIns="45720" rIns="91440" bIns="45720" anchor="t" upright="1"/>
        <a:lstStyle/>
        <a:p>
          <a:pPr algn="l" rtl="0">
            <a:defRPr sz="1000"/>
          </a:pPr>
          <a:r>
            <a:rPr lang="en-US" sz="1000" b="1" i="0" strike="noStrike">
              <a:solidFill>
                <a:srgbClr val="000000"/>
              </a:solidFill>
              <a:latin typeface="Calibri"/>
            </a:rPr>
            <a:t>Notes on Flow</a:t>
          </a:r>
          <a:r>
            <a:rPr lang="en-US" sz="1000" b="1" i="0" strike="noStrike" baseline="0">
              <a:solidFill>
                <a:srgbClr val="000000"/>
              </a:solidFill>
              <a:latin typeface="Calibri"/>
            </a:rPr>
            <a:t> Rate</a:t>
          </a:r>
          <a:r>
            <a:rPr lang="en-US" sz="1000" b="1" i="0" strike="noStrike">
              <a:solidFill>
                <a:srgbClr val="000000"/>
              </a:solidFill>
              <a:latin typeface="Calibri"/>
            </a:rPr>
            <a:t>s:  </a:t>
          </a:r>
        </a:p>
        <a:p>
          <a:pPr algn="l" rtl="0">
            <a:defRPr sz="1000"/>
          </a:pPr>
          <a:r>
            <a:rPr lang="en-US" sz="1000" b="0" i="0" strike="noStrike">
              <a:solidFill>
                <a:srgbClr val="000000"/>
              </a:solidFill>
              <a:latin typeface="Calibri"/>
            </a:rPr>
            <a:t>1)  Ideally, flow rate should be calculated to achieve a residence time of approximetly 1 day.  This residence time is based on the pore volume estimated from the mass difference</a:t>
          </a:r>
          <a:r>
            <a:rPr lang="en-US" sz="1000" b="0" i="0" strike="noStrike" baseline="0">
              <a:solidFill>
                <a:srgbClr val="000000"/>
              </a:solidFill>
              <a:latin typeface="Calibri"/>
            </a:rPr>
            <a:t> between the bed of the "as packed" material and the water-saturated material</a:t>
          </a:r>
          <a:r>
            <a:rPr lang="en-US" sz="1000" b="0" i="0" strike="noStrike">
              <a:solidFill>
                <a:srgbClr val="000000"/>
              </a:solidFill>
              <a:latin typeface="Calibri"/>
            </a:rPr>
            <a:t>.</a:t>
          </a:r>
        </a:p>
        <a:p>
          <a:pPr algn="l" rtl="0">
            <a:defRPr sz="1000"/>
          </a:pPr>
          <a:endParaRPr lang="en-US" sz="1000" b="0" i="0" strike="noStrike">
            <a:solidFill>
              <a:srgbClr val="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a:latin typeface="+mn-lt"/>
              <a:ea typeface="+mn-ea"/>
              <a:cs typeface="+mn-cs"/>
            </a:rPr>
            <a:t>2)  Since this residence time value is based on an estimated value, a flow rate</a:t>
          </a:r>
          <a:r>
            <a:rPr lang="en-US" sz="1000" b="0" i="0" baseline="0">
              <a:latin typeface="+mn-lt"/>
              <a:ea typeface="+mn-ea"/>
              <a:cs typeface="+mn-cs"/>
            </a:rPr>
            <a:t> based on an</a:t>
          </a:r>
          <a:r>
            <a:rPr lang="en-US" sz="1000" b="0" i="0">
              <a:latin typeface="+mn-lt"/>
              <a:ea typeface="+mn-ea"/>
              <a:cs typeface="+mn-cs"/>
            </a:rPr>
            <a:t> L</a:t>
          </a:r>
          <a:r>
            <a:rPr lang="en-US" sz="1000" b="0" i="0" baseline="0">
              <a:latin typeface="+mn-lt"/>
              <a:ea typeface="+mn-ea"/>
              <a:cs typeface="+mn-cs"/>
            </a:rPr>
            <a:t>/S per day value is more rigorous. </a:t>
          </a:r>
          <a:r>
            <a:rPr lang="en-US" sz="1000" b="0" i="0">
              <a:latin typeface="+mn-lt"/>
              <a:ea typeface="+mn-ea"/>
              <a:cs typeface="+mn-cs"/>
            </a:rPr>
            <a:t> The flow rate specification is 0.75±0.25 L/S per day;</a:t>
          </a:r>
          <a:r>
            <a:rPr lang="en-US" sz="1000" b="0" i="0" baseline="0">
              <a:latin typeface="+mn-lt"/>
              <a:ea typeface="+mn-ea"/>
              <a:cs typeface="+mn-cs"/>
            </a:rPr>
            <a:t> </a:t>
          </a:r>
          <a:r>
            <a:rPr lang="en-US" sz="1000" b="0" i="0">
              <a:latin typeface="+mn-lt"/>
              <a:ea typeface="+mn-ea"/>
              <a:cs typeface="+mn-cs"/>
            </a:rPr>
            <a:t>however, if</a:t>
          </a:r>
          <a:r>
            <a:rPr lang="en-US" sz="1000" b="0" i="0" baseline="0">
              <a:latin typeface="+mn-lt"/>
              <a:ea typeface="+mn-ea"/>
              <a:cs typeface="+mn-cs"/>
            </a:rPr>
            <a:t> the flow rate </a:t>
          </a:r>
          <a:r>
            <a:rPr lang="en-US" sz="1000" b="0" i="0">
              <a:latin typeface="+mn-lt"/>
              <a:ea typeface="+mn-ea"/>
              <a:cs typeface="+mn-cs"/>
            </a:rPr>
            <a:t>can be adjusted to provide a daily L/S rate of 0.75, the schedule of collection time becomes more practical (i.e., multiples of the start time).  Interval L/S rate is based on the amount of dry solid mass added to the column.</a:t>
          </a:r>
          <a:endParaRPr lang="en-US"/>
        </a:p>
        <a:p>
          <a:pPr algn="l" rtl="0">
            <a:defRPr sz="1000"/>
          </a:pPr>
          <a:endParaRPr lang="en-US" sz="1000" b="0" i="0" strike="noStrike">
            <a:solidFill>
              <a:srgbClr val="000000"/>
            </a:solidFill>
            <a:latin typeface="Calibri"/>
          </a:endParaRPr>
        </a:p>
      </xdr:txBody>
    </xdr:sp>
    <xdr:clientData/>
  </xdr:twoCellAnchor>
  <xdr:twoCellAnchor>
    <xdr:from>
      <xdr:col>37</xdr:col>
      <xdr:colOff>200025</xdr:colOff>
      <xdr:row>2</xdr:row>
      <xdr:rowOff>180976</xdr:rowOff>
    </xdr:from>
    <xdr:to>
      <xdr:col>43</xdr:col>
      <xdr:colOff>85725</xdr:colOff>
      <xdr:row>11</xdr:row>
      <xdr:rowOff>47625</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5725775" y="619126"/>
          <a:ext cx="4371975" cy="1581149"/>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00" b="1"/>
            <a:t>Notes on</a:t>
          </a:r>
          <a:r>
            <a:rPr lang="en-US" sz="1000" b="1" baseline="0"/>
            <a:t> Eluant Composition:</a:t>
          </a:r>
          <a:endParaRPr lang="en-US" sz="1000" b="1"/>
        </a:p>
        <a:p>
          <a:r>
            <a:rPr lang="en-US" sz="1000"/>
            <a:t>Calcium chloride solutions are used </a:t>
          </a:r>
          <a:r>
            <a:rPr lang="en-US" sz="1000" baseline="0"/>
            <a:t>as eluents when</a:t>
          </a:r>
          <a:r>
            <a:rPr lang="en-US" sz="1000"/>
            <a:t> Method</a:t>
          </a:r>
          <a:r>
            <a:rPr lang="en-US" sz="1000" baseline="0"/>
            <a:t> 1314 is performed on </a:t>
          </a:r>
          <a:r>
            <a:rPr lang="en-US" sz="1000"/>
            <a:t>clayey</a:t>
          </a:r>
          <a:r>
            <a:rPr lang="en-US" sz="1000" baseline="0"/>
            <a:t> or organic materials.  The ionic strenght of the solution</a:t>
          </a:r>
          <a:r>
            <a:rPr lang="en-US" sz="1000"/>
            <a:t> keeps clay layers from</a:t>
          </a:r>
          <a:r>
            <a:rPr lang="en-US" sz="1000" baseline="0"/>
            <a:t> deflocculating and minimizes the dissolution of organic matter.  Method 1314 specifies 0.001 M (1 mM) CaCl</a:t>
          </a:r>
          <a:r>
            <a:rPr lang="en-US" sz="1000" baseline="-25000"/>
            <a:t>2</a:t>
          </a:r>
          <a:r>
            <a:rPr lang="en-US" sz="1000" baseline="0"/>
            <a:t> solutions; however, t</a:t>
          </a:r>
          <a:r>
            <a:rPr lang="en-US" sz="1000"/>
            <a:t>he</a:t>
          </a:r>
          <a:r>
            <a:rPr lang="en-US" sz="1000" baseline="0"/>
            <a:t> tool below calculates the mass of CaCl</a:t>
          </a:r>
          <a:r>
            <a:rPr lang="en-US" sz="1000" baseline="-25000"/>
            <a:t>2</a:t>
          </a:r>
          <a:r>
            <a:rPr lang="en-US" sz="1000" baseline="0"/>
            <a:t>·2H</a:t>
          </a:r>
          <a:r>
            <a:rPr lang="en-US" sz="1000" baseline="-25000"/>
            <a:t>2</a:t>
          </a:r>
          <a:r>
            <a:rPr lang="en-US" sz="1000" baseline="0"/>
            <a:t>O (calcium chloride dihydrate) required to create  eluant at a target concentration.  The tool also calculates the analytical concentrations of Ca</a:t>
          </a:r>
          <a:r>
            <a:rPr lang="en-US" sz="1000" baseline="30000"/>
            <a:t>+2</a:t>
          </a:r>
          <a:r>
            <a:rPr lang="en-US" sz="1000" baseline="0"/>
            <a:t> and Cl</a:t>
          </a:r>
          <a:r>
            <a:rPr lang="en-US" sz="1000" baseline="30000"/>
            <a:t>-</a:t>
          </a:r>
          <a:r>
            <a:rPr lang="en-US" sz="1000" baseline="0"/>
            <a:t> anticipated to be in eluant blanks for QA/QC purposes.</a:t>
          </a:r>
          <a:endParaRPr lang="en-US" sz="1000"/>
        </a:p>
      </xdr:txBody>
    </xdr:sp>
    <xdr:clientData/>
  </xdr:twoCellAnchor>
  <xdr:twoCellAnchor>
    <xdr:from>
      <xdr:col>2</xdr:col>
      <xdr:colOff>0</xdr:colOff>
      <xdr:row>4</xdr:row>
      <xdr:rowOff>0</xdr:rowOff>
    </xdr:from>
    <xdr:to>
      <xdr:col>11</xdr:col>
      <xdr:colOff>552449</xdr:colOff>
      <xdr:row>7</xdr:row>
      <xdr:rowOff>57149</xdr:rowOff>
    </xdr:to>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495300" y="838200"/>
          <a:ext cx="6105524" cy="62864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1</a:t>
          </a:r>
          <a:r>
            <a:rPr lang="en-US" sz="1200">
              <a:solidFill>
                <a:sysClr val="windowText" lastClr="000000"/>
              </a:solidFill>
            </a:rPr>
            <a:t>:  Enter the project,</a:t>
          </a:r>
          <a:r>
            <a:rPr lang="en-US" sz="1200" baseline="0">
              <a:solidFill>
                <a:sysClr val="windowText" lastClr="000000"/>
              </a:solidFill>
            </a:rPr>
            <a:t> material and replicate codes as well as the technician name.  Prepare test samples and enter the sample type and sample properties and geometry.  Enter eluate composition from the drop-down list and concentration value if required.</a:t>
          </a:r>
          <a:endParaRPr lang="en-US" sz="1200">
            <a:solidFill>
              <a:sysClr val="windowText" lastClr="000000"/>
            </a:solidFill>
          </a:endParaRPr>
        </a:p>
      </xdr:txBody>
    </xdr:sp>
    <xdr:clientData/>
  </xdr:twoCellAnchor>
  <xdr:twoCellAnchor>
    <xdr:from>
      <xdr:col>2</xdr:col>
      <xdr:colOff>0</xdr:colOff>
      <xdr:row>11</xdr:row>
      <xdr:rowOff>0</xdr:rowOff>
    </xdr:from>
    <xdr:to>
      <xdr:col>11</xdr:col>
      <xdr:colOff>504825</xdr:colOff>
      <xdr:row>13</xdr:row>
      <xdr:rowOff>85725</xdr:rowOff>
    </xdr:to>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495300" y="2171700"/>
          <a:ext cx="6057900" cy="4667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2</a:t>
          </a:r>
          <a:r>
            <a:rPr lang="en-US" sz="1200">
              <a:solidFill>
                <a:sysClr val="windowText" lastClr="000000"/>
              </a:solidFill>
            </a:rPr>
            <a:t>:  When the collumn has </a:t>
          </a:r>
          <a:r>
            <a:rPr lang="en-US" sz="1200" baseline="0">
              <a:solidFill>
                <a:sysClr val="windowText" lastClr="000000"/>
              </a:solidFill>
            </a:rPr>
            <a:t>equilibriated, start the pump. E</a:t>
          </a:r>
          <a:r>
            <a:rPr lang="en-US" sz="1200">
              <a:solidFill>
                <a:sysClr val="windowText" lastClr="000000"/>
              </a:solidFill>
            </a:rPr>
            <a:t>nter the </a:t>
          </a:r>
          <a:r>
            <a:rPr lang="en-US" sz="1200" baseline="0">
              <a:solidFill>
                <a:sysClr val="windowText" lastClr="000000"/>
              </a:solidFill>
            </a:rPr>
            <a:t>date/ time at the beginning of eluate collection.  This date/time is the start of the percolation test.  </a:t>
          </a:r>
          <a:endParaRPr lang="en-US" sz="1200">
            <a:solidFill>
              <a:sysClr val="windowText" lastClr="000000"/>
            </a:solidFill>
          </a:endParaRPr>
        </a:p>
      </xdr:txBody>
    </xdr:sp>
    <xdr:clientData/>
  </xdr:twoCellAnchor>
  <xdr:twoCellAnchor>
    <xdr:from>
      <xdr:col>3</xdr:col>
      <xdr:colOff>1</xdr:colOff>
      <xdr:row>14</xdr:row>
      <xdr:rowOff>0</xdr:rowOff>
    </xdr:from>
    <xdr:to>
      <xdr:col>11</xdr:col>
      <xdr:colOff>152401</xdr:colOff>
      <xdr:row>18</xdr:row>
      <xdr:rowOff>66676</xdr:rowOff>
    </xdr:to>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171576" y="2743200"/>
          <a:ext cx="5029200" cy="82867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Note</a:t>
          </a:r>
          <a:r>
            <a:rPr lang="en-US" sz="1200">
              <a:solidFill>
                <a:sysClr val="windowText" lastClr="000000"/>
              </a:solidFill>
            </a:rPr>
            <a:t>:  Once</a:t>
          </a:r>
          <a:r>
            <a:rPr lang="en-US" sz="1200" baseline="0">
              <a:solidFill>
                <a:sysClr val="windowText" lastClr="000000"/>
              </a:solidFill>
            </a:rPr>
            <a:t> a test start data and time is entered, the </a:t>
          </a:r>
          <a:r>
            <a:rPr lang="en-US" sz="1200" b="1" baseline="0">
              <a:solidFill>
                <a:sysClr val="windowText" lastClr="000000"/>
              </a:solidFill>
            </a:rPr>
            <a:t>Scheduled Collection</a:t>
          </a:r>
          <a:r>
            <a:rPr lang="en-US" sz="1200" baseline="0">
              <a:solidFill>
                <a:sysClr val="windowText" lastClr="000000"/>
              </a:solidFill>
            </a:rPr>
            <a:t> field will be automatically populated.  This field will automatically update after the mass of each collected eluate is calculated.  The </a:t>
          </a:r>
          <a:r>
            <a:rPr lang="en-US" sz="1200" b="1" baseline="0">
              <a:solidFill>
                <a:sysClr val="windowText" lastClr="000000"/>
              </a:solidFill>
            </a:rPr>
            <a:t>Day of Week</a:t>
          </a:r>
          <a:r>
            <a:rPr lang="en-US" sz="1200" baseline="0">
              <a:solidFill>
                <a:sysClr val="windowText" lastClr="000000"/>
              </a:solidFill>
            </a:rPr>
            <a:t> field will show weekdays and weekend days for the projected collection schedule.</a:t>
          </a:r>
          <a:endParaRPr lang="en-US" sz="1200">
            <a:solidFill>
              <a:sysClr val="windowText" lastClr="000000"/>
            </a:solidFill>
          </a:endParaRPr>
        </a:p>
      </xdr:txBody>
    </xdr:sp>
    <xdr:clientData/>
  </xdr:twoCellAnchor>
  <xdr:twoCellAnchor>
    <xdr:from>
      <xdr:col>1</xdr:col>
      <xdr:colOff>247649</xdr:colOff>
      <xdr:row>19</xdr:row>
      <xdr:rowOff>0</xdr:rowOff>
    </xdr:from>
    <xdr:to>
      <xdr:col>11</xdr:col>
      <xdr:colOff>533399</xdr:colOff>
      <xdr:row>21</xdr:row>
      <xdr:rowOff>85725</xdr:rowOff>
    </xdr:to>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495299" y="3695700"/>
          <a:ext cx="6086475" cy="466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3</a:t>
          </a:r>
          <a:r>
            <a:rPr lang="en-US" sz="1200">
              <a:solidFill>
                <a:sysClr val="windowText" lastClr="000000"/>
              </a:solidFill>
            </a:rPr>
            <a:t>:  Measure and record the tare mass</a:t>
          </a:r>
          <a:r>
            <a:rPr lang="en-US" sz="1200" baseline="0">
              <a:solidFill>
                <a:sysClr val="windowText" lastClr="000000"/>
              </a:solidFill>
            </a:rPr>
            <a:t> of the next eluant collection bottle with a cap.  This value will be used to determine the mass of eluant collected.</a:t>
          </a:r>
          <a:endParaRPr lang="en-US" sz="1200">
            <a:solidFill>
              <a:sysClr val="windowText" lastClr="000000"/>
            </a:solidFill>
          </a:endParaRPr>
        </a:p>
      </xdr:txBody>
    </xdr:sp>
    <xdr:clientData/>
  </xdr:twoCellAnchor>
  <xdr:twoCellAnchor>
    <xdr:from>
      <xdr:col>1</xdr:col>
      <xdr:colOff>247649</xdr:colOff>
      <xdr:row>22</xdr:row>
      <xdr:rowOff>0</xdr:rowOff>
    </xdr:from>
    <xdr:to>
      <xdr:col>11</xdr:col>
      <xdr:colOff>514349</xdr:colOff>
      <xdr:row>25</xdr:row>
      <xdr:rowOff>76200</xdr:rowOff>
    </xdr:to>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495299" y="4267200"/>
          <a:ext cx="6067425" cy="6477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4</a:t>
          </a:r>
          <a:r>
            <a:rPr lang="en-US" sz="1200">
              <a:solidFill>
                <a:sysClr val="windowText" lastClr="000000"/>
              </a:solidFill>
            </a:rPr>
            <a:t>:  Monitor the amount of eluate to verify that the </a:t>
          </a:r>
          <a:r>
            <a:rPr lang="en-US" sz="1200" b="1">
              <a:solidFill>
                <a:sysClr val="windowText" lastClr="000000"/>
              </a:solidFill>
            </a:rPr>
            <a:t>Scheduled</a:t>
          </a:r>
          <a:r>
            <a:rPr lang="en-US" sz="1200" b="1" baseline="0">
              <a:solidFill>
                <a:sysClr val="windowText" lastClr="000000"/>
              </a:solidFill>
            </a:rPr>
            <a:t> Collection</a:t>
          </a:r>
          <a:r>
            <a:rPr lang="en-US" sz="1200" baseline="0">
              <a:solidFill>
                <a:sysClr val="windowText" lastClr="000000"/>
              </a:solidFill>
            </a:rPr>
            <a:t> field is accurate.  When the a</a:t>
          </a:r>
          <a:r>
            <a:rPr lang="en-US" sz="1200">
              <a:solidFill>
                <a:sysClr val="windowText" lastClr="000000"/>
              </a:solidFill>
            </a:rPr>
            <a:t>ppropriate amount of eluate</a:t>
          </a:r>
          <a:r>
            <a:rPr lang="en-US" sz="1200" baseline="0">
              <a:solidFill>
                <a:sysClr val="windowText" lastClr="000000"/>
              </a:solidFill>
            </a:rPr>
            <a:t> has been collected, enter the time when the eluate collection is complete.  </a:t>
          </a:r>
          <a:endParaRPr lang="en-US" sz="1200">
            <a:solidFill>
              <a:sysClr val="windowText" lastClr="000000"/>
            </a:solidFill>
          </a:endParaRPr>
        </a:p>
      </xdr:txBody>
    </xdr:sp>
    <xdr:clientData/>
  </xdr:twoCellAnchor>
  <xdr:twoCellAnchor>
    <xdr:from>
      <xdr:col>2</xdr:col>
      <xdr:colOff>0</xdr:colOff>
      <xdr:row>26</xdr:row>
      <xdr:rowOff>0</xdr:rowOff>
    </xdr:from>
    <xdr:to>
      <xdr:col>11</xdr:col>
      <xdr:colOff>523875</xdr:colOff>
      <xdr:row>29</xdr:row>
      <xdr:rowOff>76200</xdr:rowOff>
    </xdr:to>
    <xdr:sp macro="" textlink="">
      <xdr:nvSpPr>
        <xdr:cNvPr id="25" name="TextBox 24">
          <a:extLst>
            <a:ext uri="{FF2B5EF4-FFF2-40B4-BE49-F238E27FC236}">
              <a16:creationId xmlns:a16="http://schemas.microsoft.com/office/drawing/2014/main" id="{00000000-0008-0000-0300-000019000000}"/>
            </a:ext>
          </a:extLst>
        </xdr:cNvPr>
        <xdr:cNvSpPr txBox="1"/>
      </xdr:nvSpPr>
      <xdr:spPr>
        <a:xfrm>
          <a:off x="495300" y="5029200"/>
          <a:ext cx="6076950" cy="6477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5</a:t>
          </a:r>
          <a:r>
            <a:rPr lang="en-US" sz="1200">
              <a:solidFill>
                <a:sysClr val="windowText" lastClr="000000"/>
              </a:solidFill>
            </a:rPr>
            <a:t>:  Measure and record the </a:t>
          </a:r>
          <a:r>
            <a:rPr lang="en-US" sz="1200" baseline="0">
              <a:solidFill>
                <a:sysClr val="windowText" lastClr="000000"/>
              </a:solidFill>
            </a:rPr>
            <a:t>mass of the bottle + collected eluate fraction.  Remove an eluate aliquot of sufficient volume (~ 5 mL) for measuring pH, electrical conductivity as well as redox potential or ORP (optional).  Measure and record these eluate properties. </a:t>
          </a:r>
          <a:endParaRPr lang="en-US" sz="1200">
            <a:solidFill>
              <a:sysClr val="windowText" lastClr="000000"/>
            </a:solidFill>
          </a:endParaRPr>
        </a:p>
      </xdr:txBody>
    </xdr:sp>
    <xdr:clientData/>
  </xdr:twoCellAnchor>
  <xdr:twoCellAnchor>
    <xdr:from>
      <xdr:col>2</xdr:col>
      <xdr:colOff>0</xdr:colOff>
      <xdr:row>30</xdr:row>
      <xdr:rowOff>0</xdr:rowOff>
    </xdr:from>
    <xdr:to>
      <xdr:col>11</xdr:col>
      <xdr:colOff>533400</xdr:colOff>
      <xdr:row>33</xdr:row>
      <xdr:rowOff>66675</xdr:rowOff>
    </xdr:to>
    <xdr:sp macro="" textlink="">
      <xdr:nvSpPr>
        <xdr:cNvPr id="26" name="TextBox 25">
          <a:extLst>
            <a:ext uri="{FF2B5EF4-FFF2-40B4-BE49-F238E27FC236}">
              <a16:creationId xmlns:a16="http://schemas.microsoft.com/office/drawing/2014/main" id="{00000000-0008-0000-0300-00001A000000}"/>
            </a:ext>
          </a:extLst>
        </xdr:cNvPr>
        <xdr:cNvSpPr txBox="1"/>
      </xdr:nvSpPr>
      <xdr:spPr>
        <a:xfrm>
          <a:off x="495300" y="5791200"/>
          <a:ext cx="6086475" cy="6477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6</a:t>
          </a:r>
          <a:r>
            <a:rPr lang="en-US" sz="1200">
              <a:solidFill>
                <a:sysClr val="windowText" lastClr="000000"/>
              </a:solidFill>
            </a:rPr>
            <a:t>: Monitor the </a:t>
          </a:r>
          <a:r>
            <a:rPr lang="en-US" sz="1200" b="1">
              <a:solidFill>
                <a:sysClr val="windowText" lastClr="000000"/>
              </a:solidFill>
            </a:rPr>
            <a:t>Calc'd </a:t>
          </a:r>
          <a:r>
            <a:rPr lang="en-US" sz="1200" b="1">
              <a:solidFill>
                <a:sysClr val="windowText" lastClr="000000"/>
              </a:solidFill>
              <a:latin typeface="Symbol" panose="05050102010706020507" pitchFamily="18" charset="2"/>
            </a:rPr>
            <a:t>S</a:t>
          </a:r>
          <a:r>
            <a:rPr lang="en-US" sz="1200" b="1">
              <a:solidFill>
                <a:sysClr val="windowText" lastClr="000000"/>
              </a:solidFill>
            </a:rPr>
            <a:t>L/S</a:t>
          </a:r>
          <a:r>
            <a:rPr lang="en-US" sz="1200" baseline="0">
              <a:solidFill>
                <a:sysClr val="windowText" lastClr="000000"/>
              </a:solidFill>
            </a:rPr>
            <a:t> collected and the </a:t>
          </a:r>
          <a:r>
            <a:rPr lang="en-US" sz="1200" b="1" baseline="0">
              <a:solidFill>
                <a:sysClr val="windowText" lastClr="000000"/>
              </a:solidFill>
            </a:rPr>
            <a:t>Interval Flow Rate</a:t>
          </a:r>
          <a:r>
            <a:rPr lang="en-US" sz="1200" baseline="0">
              <a:solidFill>
                <a:sysClr val="windowText" lastClr="000000"/>
              </a:solidFill>
            </a:rPr>
            <a:t>.   The time for the next eluate collection should be automatically updated in the </a:t>
          </a:r>
          <a:r>
            <a:rPr lang="en-US" sz="1200" b="1" baseline="0">
              <a:solidFill>
                <a:sysClr val="windowText" lastClr="000000"/>
              </a:solidFill>
            </a:rPr>
            <a:t>Scheduled Collection</a:t>
          </a:r>
          <a:r>
            <a:rPr lang="en-US" sz="1200" baseline="0">
              <a:solidFill>
                <a:sysClr val="windowText" lastClr="000000"/>
              </a:solidFill>
            </a:rPr>
            <a:t> field.  Adjusted pump flow rate as needed to maintain a constant flow rate or to adjust the schedule.</a:t>
          </a:r>
          <a:endParaRPr lang="en-US" sz="1200">
            <a:solidFill>
              <a:sysClr val="windowText" lastClr="000000"/>
            </a:solidFill>
          </a:endParaRPr>
        </a:p>
      </xdr:txBody>
    </xdr:sp>
    <xdr:clientData/>
  </xdr:twoCellAnchor>
  <xdr:twoCellAnchor>
    <xdr:from>
      <xdr:col>2</xdr:col>
      <xdr:colOff>0</xdr:colOff>
      <xdr:row>34</xdr:row>
      <xdr:rowOff>0</xdr:rowOff>
    </xdr:from>
    <xdr:to>
      <xdr:col>11</xdr:col>
      <xdr:colOff>533400</xdr:colOff>
      <xdr:row>36</xdr:row>
      <xdr:rowOff>104775</xdr:rowOff>
    </xdr:to>
    <xdr:sp macro="" textlink="">
      <xdr:nvSpPr>
        <xdr:cNvPr id="28" name="TextBox 27">
          <a:extLst>
            <a:ext uri="{FF2B5EF4-FFF2-40B4-BE49-F238E27FC236}">
              <a16:creationId xmlns:a16="http://schemas.microsoft.com/office/drawing/2014/main" id="{00000000-0008-0000-0300-00001C000000}"/>
            </a:ext>
          </a:extLst>
        </xdr:cNvPr>
        <xdr:cNvSpPr txBox="1"/>
      </xdr:nvSpPr>
      <xdr:spPr>
        <a:xfrm>
          <a:off x="495300" y="6562725"/>
          <a:ext cx="6086475" cy="4857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7</a:t>
          </a:r>
          <a:r>
            <a:rPr lang="en-US" sz="1200">
              <a:solidFill>
                <a:sysClr val="windowText" lastClr="000000"/>
              </a:solidFill>
            </a:rPr>
            <a:t>: Enter the initials</a:t>
          </a:r>
          <a:r>
            <a:rPr lang="en-US" sz="1200" baseline="0">
              <a:solidFill>
                <a:sysClr val="windowText" lastClr="000000"/>
              </a:solidFill>
            </a:rPr>
            <a:t> of the technician conducting the eluate collection and record any pertinent notes regarding the eluate exchange procedure. </a:t>
          </a:r>
          <a:endParaRPr lang="en-US" sz="1200">
            <a:solidFill>
              <a:sysClr val="windowText" lastClr="000000"/>
            </a:solidFill>
          </a:endParaRPr>
        </a:p>
      </xdr:txBody>
    </xdr:sp>
    <xdr:clientData/>
  </xdr:twoCellAnchor>
  <xdr:twoCellAnchor>
    <xdr:from>
      <xdr:col>3</xdr:col>
      <xdr:colOff>0</xdr:colOff>
      <xdr:row>8</xdr:row>
      <xdr:rowOff>0</xdr:rowOff>
    </xdr:from>
    <xdr:to>
      <xdr:col>11</xdr:col>
      <xdr:colOff>171450</xdr:colOff>
      <xdr:row>10</xdr:row>
      <xdr:rowOff>47625</xdr:rowOff>
    </xdr:to>
    <xdr:sp macro="" textlink="">
      <xdr:nvSpPr>
        <xdr:cNvPr id="30" name="TextBox 29">
          <a:extLst>
            <a:ext uri="{FF2B5EF4-FFF2-40B4-BE49-F238E27FC236}">
              <a16:creationId xmlns:a16="http://schemas.microsoft.com/office/drawing/2014/main" id="{00000000-0008-0000-0300-00001E000000}"/>
            </a:ext>
          </a:extLst>
        </xdr:cNvPr>
        <xdr:cNvSpPr txBox="1"/>
      </xdr:nvSpPr>
      <xdr:spPr>
        <a:xfrm>
          <a:off x="1171575" y="1600200"/>
          <a:ext cx="5048250" cy="4286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Note</a:t>
          </a:r>
          <a:r>
            <a:rPr lang="en-US" sz="1200">
              <a:solidFill>
                <a:sysClr val="windowText" lastClr="000000"/>
              </a:solidFill>
            </a:rPr>
            <a:t>:   The column should be saturated with eluant and </a:t>
          </a:r>
          <a:r>
            <a:rPr lang="en-US" sz="1200" baseline="0">
              <a:solidFill>
                <a:sysClr val="windowText" lastClr="000000"/>
              </a:solidFill>
            </a:rPr>
            <a:t>allowed to equilibriate for at least 18 hours prior to starting the test.</a:t>
          </a:r>
          <a:endParaRPr lang="en-US" sz="1200">
            <a:solidFill>
              <a:sysClr val="windowText" lastClr="000000"/>
            </a:solidFill>
          </a:endParaRPr>
        </a:p>
      </xdr:txBody>
    </xdr:sp>
    <xdr:clientData/>
  </xdr:twoCellAnchor>
  <xdr:twoCellAnchor>
    <xdr:from>
      <xdr:col>0</xdr:col>
      <xdr:colOff>0</xdr:colOff>
      <xdr:row>0</xdr:row>
      <xdr:rowOff>0</xdr:rowOff>
    </xdr:from>
    <xdr:to>
      <xdr:col>0</xdr:col>
      <xdr:colOff>409575</xdr:colOff>
      <xdr:row>42</xdr:row>
      <xdr:rowOff>152400</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0" y="0"/>
          <a:ext cx="409575" cy="82486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lnSpc>
              <a:spcPct val="80000"/>
            </a:lnSpc>
          </a:pPr>
          <a:r>
            <a:rPr lang="en-US" sz="2400" b="1" baseline="0">
              <a:solidFill>
                <a:sysClr val="windowText" lastClr="000000"/>
              </a:solidFill>
            </a:rPr>
            <a:t>ASSISTANCE</a:t>
          </a:r>
          <a:r>
            <a:rPr lang="en-US" sz="2400" b="1">
              <a:solidFill>
                <a:sysClr val="windowText" lastClr="000000"/>
              </a:solidFill>
            </a:rPr>
            <a:t>: </a:t>
          </a:r>
          <a:r>
            <a:rPr lang="en-US" sz="2400" b="1" baseline="0">
              <a:solidFill>
                <a:sysClr val="windowText" lastClr="000000"/>
              </a:solidFill>
            </a:rPr>
            <a:t> </a:t>
          </a:r>
          <a:r>
            <a:rPr lang="en-US" sz="1800" b="0" baseline="0">
              <a:solidFill>
                <a:sysClr val="windowText" lastClr="000000"/>
              </a:solidFill>
            </a:rPr>
            <a:t>(unhide columns B-M)</a:t>
          </a:r>
          <a:endParaRPr lang="en-US" sz="1800" b="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xdr:row>
      <xdr:rowOff>190498</xdr:rowOff>
    </xdr:from>
    <xdr:to>
      <xdr:col>10</xdr:col>
      <xdr:colOff>600075</xdr:colOff>
      <xdr:row>9</xdr:row>
      <xdr:rowOff>171450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219200" y="761998"/>
          <a:ext cx="5476875" cy="112395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Overview</a:t>
          </a:r>
          <a:r>
            <a:rPr lang="en-US" sz="1200">
              <a:solidFill>
                <a:sysClr val="windowText" lastClr="000000"/>
              </a:solidFill>
            </a:rPr>
            <a:t>:  When Draft Method 1314 is</a:t>
          </a:r>
          <a:r>
            <a:rPr lang="en-US" sz="1200" baseline="0">
              <a:solidFill>
                <a:sysClr val="windowText" lastClr="000000"/>
              </a:solidFill>
            </a:rPr>
            <a:t> conducted for complete characterization, no compositing of samples is required.  However, when the method is used to evaluate release using limited analysis or index testing, collected column fractions need to be composited to provide samples for chemical analysis.  On this page, volume averaging is used to determine the volumes of collected fractions required to create compositing analytical samples of a target volume.</a:t>
          </a:r>
          <a:endParaRPr lang="en-US" sz="1200">
            <a:solidFill>
              <a:sysClr val="windowText" lastClr="000000"/>
            </a:solidFill>
          </a:endParaRPr>
        </a:p>
      </xdr:txBody>
    </xdr:sp>
    <xdr:clientData/>
  </xdr:twoCellAnchor>
  <xdr:twoCellAnchor>
    <xdr:from>
      <xdr:col>2</xdr:col>
      <xdr:colOff>0</xdr:colOff>
      <xdr:row>20</xdr:row>
      <xdr:rowOff>0</xdr:rowOff>
    </xdr:from>
    <xdr:to>
      <xdr:col>11</xdr:col>
      <xdr:colOff>1</xdr:colOff>
      <xdr:row>22</xdr:row>
      <xdr:rowOff>85725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219200" y="3810000"/>
          <a:ext cx="5486401" cy="4667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4</a:t>
          </a:r>
          <a:r>
            <a:rPr lang="en-US" sz="1200">
              <a:solidFill>
                <a:sysClr val="windowText" lastClr="000000"/>
              </a:solidFill>
            </a:rPr>
            <a:t>:  The volumes of each collected fraction volume</a:t>
          </a:r>
          <a:r>
            <a:rPr lang="en-US" sz="1200" baseline="0">
              <a:solidFill>
                <a:sysClr val="windowText" lastClr="000000"/>
              </a:solidFill>
            </a:rPr>
            <a:t> needed to create composited analytical samples are calculated and grouped by color.  </a:t>
          </a:r>
          <a:endParaRPr lang="en-US" sz="1200">
            <a:solidFill>
              <a:sysClr val="windowText" lastClr="000000"/>
            </a:solidFill>
          </a:endParaRPr>
        </a:p>
      </xdr:txBody>
    </xdr:sp>
    <xdr:clientData/>
  </xdr:twoCellAnchor>
  <xdr:twoCellAnchor>
    <xdr:from>
      <xdr:col>2</xdr:col>
      <xdr:colOff>0</xdr:colOff>
      <xdr:row>16</xdr:row>
      <xdr:rowOff>0</xdr:rowOff>
    </xdr:from>
    <xdr:to>
      <xdr:col>11</xdr:col>
      <xdr:colOff>19050</xdr:colOff>
      <xdr:row>19</xdr:row>
      <xdr:rowOff>85725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219200" y="3048000"/>
          <a:ext cx="5505450" cy="65722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a:t>
          </a:r>
          <a:r>
            <a:rPr lang="en-US" sz="1200" b="1" baseline="0">
              <a:solidFill>
                <a:sysClr val="windowText" lastClr="000000"/>
              </a:solidFill>
            </a:rPr>
            <a:t> 3</a:t>
          </a:r>
          <a:r>
            <a:rPr lang="en-US" sz="1200">
              <a:solidFill>
                <a:sysClr val="windowText" lastClr="000000"/>
              </a:solidFill>
            </a:rPr>
            <a:t>:  </a:t>
          </a:r>
          <a:r>
            <a:rPr lang="en-US" sz="1100" baseline="0">
              <a:solidFill>
                <a:schemeClr val="dk1"/>
              </a:solidFill>
              <a:latin typeface="+mn-lt"/>
              <a:ea typeface="+mn-ea"/>
              <a:cs typeface="+mn-cs"/>
            </a:rPr>
            <a:t>Select a target volume for creating an analytical sample from the collected column fractions.  If the sum of these data are greater than the collected volume of eluate, the "Target Volume" field will be highlighted indicating that the value requires adjustment.</a:t>
          </a:r>
          <a:endParaRPr lang="en-US" sz="1200">
            <a:solidFill>
              <a:sysClr val="windowText" lastClr="000000"/>
            </a:solidFill>
          </a:endParaRPr>
        </a:p>
      </xdr:txBody>
    </xdr:sp>
    <xdr:clientData/>
  </xdr:twoCellAnchor>
  <xdr:twoCellAnchor>
    <xdr:from>
      <xdr:col>2</xdr:col>
      <xdr:colOff>0</xdr:colOff>
      <xdr:row>14</xdr:row>
      <xdr:rowOff>0</xdr:rowOff>
    </xdr:from>
    <xdr:to>
      <xdr:col>10</xdr:col>
      <xdr:colOff>600075</xdr:colOff>
      <xdr:row>15</xdr:row>
      <xdr:rowOff>85725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19200" y="2667000"/>
          <a:ext cx="5476875" cy="276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2</a:t>
          </a:r>
          <a:r>
            <a:rPr lang="en-US" sz="1200">
              <a:solidFill>
                <a:sysClr val="windowText" lastClr="000000"/>
              </a:solidFill>
            </a:rPr>
            <a:t>:  Enter volumes</a:t>
          </a:r>
          <a:r>
            <a:rPr lang="en-US" sz="1200" baseline="0">
              <a:solidFill>
                <a:sysClr val="windowText" lastClr="000000"/>
              </a:solidFill>
            </a:rPr>
            <a:t> of eluate needed for each analysis train.  </a:t>
          </a:r>
          <a:endParaRPr lang="en-US" sz="1200">
            <a:solidFill>
              <a:sysClr val="windowText" lastClr="000000"/>
            </a:solidFill>
          </a:endParaRPr>
        </a:p>
      </xdr:txBody>
    </xdr:sp>
    <xdr:clientData/>
  </xdr:twoCellAnchor>
  <xdr:twoCellAnchor>
    <xdr:from>
      <xdr:col>2</xdr:col>
      <xdr:colOff>0</xdr:colOff>
      <xdr:row>11</xdr:row>
      <xdr:rowOff>0</xdr:rowOff>
    </xdr:from>
    <xdr:to>
      <xdr:col>11</xdr:col>
      <xdr:colOff>0</xdr:colOff>
      <xdr:row>13</xdr:row>
      <xdr:rowOff>104776</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219200" y="2095500"/>
          <a:ext cx="5486400" cy="4857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ysClr val="windowText" lastClr="000000"/>
              </a:solidFill>
            </a:rPr>
            <a:t>Step 1</a:t>
          </a:r>
          <a:r>
            <a:rPr lang="en-US" sz="1200">
              <a:solidFill>
                <a:sysClr val="windowText" lastClr="000000"/>
              </a:solidFill>
            </a:rPr>
            <a:t>:  Determine the analytical option from Table 1 of Draft</a:t>
          </a:r>
          <a:r>
            <a:rPr lang="en-US" sz="1200" baseline="0">
              <a:solidFill>
                <a:sysClr val="windowText" lastClr="000000"/>
              </a:solidFill>
            </a:rPr>
            <a:t> Method 1314.  </a:t>
          </a:r>
          <a:r>
            <a:rPr lang="en-US" sz="1200">
              <a:solidFill>
                <a:sysClr val="windowText" lastClr="000000"/>
              </a:solidFill>
            </a:rPr>
            <a:t>Select the</a:t>
          </a:r>
          <a:r>
            <a:rPr lang="en-US" sz="1200" baseline="0">
              <a:solidFill>
                <a:sysClr val="windowText" lastClr="000000"/>
              </a:solidFill>
            </a:rPr>
            <a:t> corresponding option from the drop down menu.</a:t>
          </a:r>
          <a:endParaRPr lang="en-US" sz="1200">
            <a:solidFill>
              <a:sysClr val="windowText" lastClr="000000"/>
            </a:solidFill>
          </a:endParaRPr>
        </a:p>
      </xdr:txBody>
    </xdr:sp>
    <xdr:clientData/>
  </xdr:twoCellAnchor>
  <xdr:twoCellAnchor>
    <xdr:from>
      <xdr:col>0</xdr:col>
      <xdr:colOff>0</xdr:colOff>
      <xdr:row>0</xdr:row>
      <xdr:rowOff>0</xdr:rowOff>
    </xdr:from>
    <xdr:to>
      <xdr:col>0</xdr:col>
      <xdr:colOff>409575</xdr:colOff>
      <xdr:row>41</xdr:row>
      <xdr:rowOff>114300</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0" y="0"/>
          <a:ext cx="409575" cy="82391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lnSpc>
              <a:spcPct val="80000"/>
            </a:lnSpc>
          </a:pPr>
          <a:r>
            <a:rPr lang="en-US" sz="2400" b="1" baseline="0">
              <a:solidFill>
                <a:sysClr val="windowText" lastClr="000000"/>
              </a:solidFill>
            </a:rPr>
            <a:t>ASSISTANCE</a:t>
          </a:r>
          <a:r>
            <a:rPr lang="en-US" sz="2400" b="1">
              <a:solidFill>
                <a:sysClr val="windowText" lastClr="000000"/>
              </a:solidFill>
            </a:rPr>
            <a:t>: </a:t>
          </a:r>
          <a:r>
            <a:rPr lang="en-US" sz="2400" b="1" baseline="0">
              <a:solidFill>
                <a:sysClr val="windowText" lastClr="000000"/>
              </a:solidFill>
            </a:rPr>
            <a:t> </a:t>
          </a:r>
          <a:r>
            <a:rPr lang="en-US" sz="1800" b="0" baseline="0">
              <a:solidFill>
                <a:sysClr val="windowText" lastClr="000000"/>
              </a:solidFill>
            </a:rPr>
            <a:t>(unhide columns B-M)</a:t>
          </a:r>
          <a:endParaRPr lang="en-US" sz="1800" b="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S57"/>
  <sheetViews>
    <sheetView tabSelected="1" zoomScaleNormal="100" workbookViewId="0">
      <selection activeCell="C8" sqref="C8"/>
    </sheetView>
  </sheetViews>
  <sheetFormatPr defaultRowHeight="14.4" x14ac:dyDescent="0.3"/>
  <cols>
    <col min="1" max="1" width="1.6640625" customWidth="1"/>
    <col min="2" max="2" width="24.109375" customWidth="1"/>
    <col min="3" max="3" width="12.6640625" customWidth="1"/>
    <col min="7" max="7" width="3.6640625" customWidth="1"/>
    <col min="9" max="9" width="18.33203125" customWidth="1"/>
    <col min="10" max="10" width="3.6640625" customWidth="1"/>
    <col min="11" max="12" width="2.6640625" customWidth="1"/>
    <col min="19" max="19" width="2.6640625" customWidth="1"/>
  </cols>
  <sheetData>
    <row r="1" spans="1:19" ht="20.100000000000001" customHeight="1" x14ac:dyDescent="0.4">
      <c r="A1" s="676" t="s">
        <v>457</v>
      </c>
      <c r="B1" s="677"/>
      <c r="C1" s="677"/>
      <c r="D1" s="677"/>
      <c r="E1" s="677"/>
      <c r="F1" s="677"/>
      <c r="G1" s="677"/>
      <c r="H1" s="677"/>
      <c r="I1" s="677"/>
      <c r="J1" s="677"/>
      <c r="K1" s="678"/>
      <c r="L1" s="5"/>
    </row>
    <row r="2" spans="1:19" ht="20.100000000000001" customHeight="1" x14ac:dyDescent="0.4">
      <c r="A2" s="679" t="s">
        <v>446</v>
      </c>
      <c r="B2" s="680"/>
      <c r="C2" s="680"/>
      <c r="D2" s="680"/>
      <c r="E2" s="680"/>
      <c r="F2" s="680"/>
      <c r="G2" s="680"/>
      <c r="H2" s="680"/>
      <c r="I2" s="680"/>
      <c r="J2" s="680"/>
      <c r="K2" s="681"/>
      <c r="L2" s="5"/>
    </row>
    <row r="3" spans="1:19" s="11" customFormat="1" ht="20.100000000000001" customHeight="1" x14ac:dyDescent="0.4">
      <c r="A3" s="682" t="s">
        <v>811</v>
      </c>
      <c r="B3" s="683"/>
      <c r="C3" s="683"/>
      <c r="D3" s="683"/>
      <c r="E3" s="683"/>
      <c r="F3" s="683"/>
      <c r="G3" s="683"/>
      <c r="H3" s="683"/>
      <c r="I3" s="683"/>
      <c r="J3" s="683"/>
      <c r="K3" s="684"/>
      <c r="L3" s="5"/>
    </row>
    <row r="4" spans="1:19" ht="15" customHeight="1" x14ac:dyDescent="0.3"/>
    <row r="5" spans="1:19" s="23" customFormat="1" ht="15" customHeight="1" x14ac:dyDescent="0.3">
      <c r="B5" s="149"/>
      <c r="H5" s="150"/>
    </row>
    <row r="6" spans="1:19" ht="15.6" x14ac:dyDescent="0.3">
      <c r="B6" s="310" t="s">
        <v>87</v>
      </c>
      <c r="C6" s="311"/>
      <c r="D6" s="311"/>
      <c r="E6" s="311"/>
      <c r="F6" s="311"/>
      <c r="G6" s="311"/>
      <c r="H6" s="311"/>
      <c r="I6" s="311"/>
      <c r="J6" s="312"/>
      <c r="L6" s="12" t="s">
        <v>456</v>
      </c>
      <c r="M6" s="457"/>
      <c r="N6" s="457"/>
      <c r="O6" s="457"/>
      <c r="P6" s="457"/>
      <c r="Q6" s="457"/>
      <c r="R6" s="457"/>
      <c r="S6" s="457"/>
    </row>
    <row r="7" spans="1:19" x14ac:dyDescent="0.3">
      <c r="B7" s="313"/>
      <c r="C7" s="314"/>
      <c r="D7" s="314"/>
      <c r="E7" s="314"/>
      <c r="F7" s="314"/>
      <c r="G7" s="314"/>
      <c r="H7" s="314"/>
      <c r="I7" s="314"/>
      <c r="J7" s="315"/>
      <c r="L7" s="457"/>
      <c r="M7" s="457"/>
      <c r="N7" s="457"/>
      <c r="O7" s="457"/>
      <c r="P7" s="457"/>
      <c r="Q7" s="457"/>
      <c r="R7" s="457"/>
      <c r="S7" s="457"/>
    </row>
    <row r="8" spans="1:19" x14ac:dyDescent="0.3">
      <c r="B8" s="548" t="s">
        <v>88</v>
      </c>
      <c r="C8" s="214"/>
      <c r="D8" s="317"/>
      <c r="E8" s="317"/>
      <c r="F8" s="317"/>
      <c r="G8" s="317"/>
      <c r="H8" s="317"/>
      <c r="I8" s="317"/>
      <c r="J8" s="315"/>
      <c r="L8" s="457"/>
      <c r="M8" s="457"/>
      <c r="N8" s="457"/>
      <c r="O8" s="457"/>
      <c r="P8" s="457"/>
      <c r="Q8" s="457"/>
      <c r="R8" s="457"/>
      <c r="S8" s="457"/>
    </row>
    <row r="9" spans="1:19" ht="5.0999999999999996" customHeight="1" x14ac:dyDescent="0.3">
      <c r="B9" s="316"/>
      <c r="C9" s="317"/>
      <c r="D9" s="317"/>
      <c r="E9" s="317"/>
      <c r="F9" s="317"/>
      <c r="G9" s="317"/>
      <c r="H9" s="317"/>
      <c r="I9" s="317"/>
      <c r="J9" s="315"/>
      <c r="L9" s="457"/>
      <c r="M9" s="457"/>
      <c r="N9" s="457"/>
      <c r="O9" s="457"/>
      <c r="P9" s="457"/>
      <c r="Q9" s="457"/>
      <c r="R9" s="457"/>
      <c r="S9" s="457"/>
    </row>
    <row r="10" spans="1:19" x14ac:dyDescent="0.3">
      <c r="B10" s="316" t="s">
        <v>89</v>
      </c>
      <c r="C10" s="658"/>
      <c r="D10" s="659"/>
      <c r="E10" s="659"/>
      <c r="F10" s="660"/>
      <c r="G10" s="318"/>
      <c r="H10" s="317"/>
      <c r="I10" s="317"/>
      <c r="J10" s="315"/>
      <c r="L10" s="457"/>
      <c r="M10" s="457"/>
      <c r="N10" s="457"/>
      <c r="O10" s="457"/>
      <c r="P10" s="457"/>
      <c r="Q10" s="457"/>
      <c r="R10" s="457"/>
      <c r="S10" s="457"/>
    </row>
    <row r="11" spans="1:19" ht="5.0999999999999996" customHeight="1" x14ac:dyDescent="0.3">
      <c r="B11" s="316"/>
      <c r="C11" s="317"/>
      <c r="D11" s="317"/>
      <c r="E11" s="317"/>
      <c r="F11" s="317"/>
      <c r="G11" s="317"/>
      <c r="H11" s="317"/>
      <c r="I11" s="317"/>
      <c r="J11" s="315"/>
      <c r="L11" s="457"/>
      <c r="M11" s="457"/>
      <c r="N11" s="457"/>
      <c r="O11" s="457"/>
      <c r="P11" s="457"/>
      <c r="Q11" s="457"/>
      <c r="R11" s="457"/>
      <c r="S11" s="457"/>
    </row>
    <row r="12" spans="1:19" x14ac:dyDescent="0.3">
      <c r="B12" s="316" t="s">
        <v>90</v>
      </c>
      <c r="C12" s="664"/>
      <c r="D12" s="665"/>
      <c r="E12" s="665"/>
      <c r="F12" s="665"/>
      <c r="G12" s="665"/>
      <c r="H12" s="665"/>
      <c r="I12" s="666"/>
      <c r="J12" s="315"/>
      <c r="L12" s="457"/>
      <c r="M12" s="457"/>
      <c r="N12" s="457"/>
      <c r="O12" s="457"/>
      <c r="P12" s="457"/>
      <c r="Q12" s="457"/>
      <c r="R12" s="457"/>
      <c r="S12" s="457"/>
    </row>
    <row r="13" spans="1:19" x14ac:dyDescent="0.3">
      <c r="B13" s="313"/>
      <c r="C13" s="667"/>
      <c r="D13" s="668"/>
      <c r="E13" s="668"/>
      <c r="F13" s="668"/>
      <c r="G13" s="668"/>
      <c r="H13" s="668"/>
      <c r="I13" s="669"/>
      <c r="J13" s="315"/>
      <c r="L13" s="457"/>
      <c r="M13" s="457"/>
      <c r="N13" s="457"/>
      <c r="O13" s="457"/>
      <c r="P13" s="457"/>
      <c r="Q13" s="457"/>
      <c r="R13" s="457"/>
      <c r="S13" s="457"/>
    </row>
    <row r="14" spans="1:19" x14ac:dyDescent="0.3">
      <c r="B14" s="313"/>
      <c r="C14" s="670"/>
      <c r="D14" s="671"/>
      <c r="E14" s="671"/>
      <c r="F14" s="671"/>
      <c r="G14" s="671"/>
      <c r="H14" s="671"/>
      <c r="I14" s="672"/>
      <c r="J14" s="315"/>
      <c r="L14" s="457"/>
      <c r="M14" s="457"/>
      <c r="N14" s="457"/>
      <c r="O14" s="457"/>
      <c r="P14" s="457"/>
      <c r="Q14" s="457"/>
      <c r="R14" s="457"/>
      <c r="S14" s="457"/>
    </row>
    <row r="15" spans="1:19" x14ac:dyDescent="0.3">
      <c r="B15" s="313"/>
      <c r="C15" s="317"/>
      <c r="D15" s="317"/>
      <c r="E15" s="317"/>
      <c r="F15" s="317"/>
      <c r="G15" s="317"/>
      <c r="H15" s="317"/>
      <c r="I15" s="317"/>
      <c r="J15" s="315"/>
      <c r="L15" s="457"/>
      <c r="M15" s="457"/>
      <c r="N15" s="457"/>
      <c r="O15" s="457"/>
      <c r="P15" s="457"/>
      <c r="Q15" s="457"/>
      <c r="R15" s="457"/>
      <c r="S15" s="457"/>
    </row>
    <row r="16" spans="1:19" x14ac:dyDescent="0.3">
      <c r="B16" s="456" t="s">
        <v>91</v>
      </c>
      <c r="C16" s="549"/>
      <c r="D16" s="317"/>
      <c r="E16" s="317"/>
      <c r="F16" s="317"/>
      <c r="G16" s="317"/>
      <c r="H16" s="317"/>
      <c r="I16" s="317"/>
      <c r="J16" s="315"/>
      <c r="L16" s="457"/>
      <c r="M16" s="457"/>
      <c r="N16" s="457"/>
      <c r="O16" s="457"/>
      <c r="P16" s="457"/>
      <c r="Q16" s="457"/>
      <c r="R16" s="457"/>
      <c r="S16" s="457"/>
    </row>
    <row r="17" spans="1:19" s="23" customFormat="1" x14ac:dyDescent="0.3">
      <c r="B17" s="456" t="s">
        <v>411</v>
      </c>
      <c r="C17" s="309"/>
      <c r="D17" s="317"/>
      <c r="E17" s="317"/>
      <c r="F17" s="317"/>
      <c r="G17" s="317"/>
      <c r="H17" s="317"/>
      <c r="I17" s="317"/>
      <c r="J17" s="315"/>
      <c r="L17" s="30"/>
      <c r="M17" s="30"/>
      <c r="N17" s="30"/>
      <c r="O17" s="30"/>
      <c r="P17" s="30"/>
      <c r="Q17" s="30"/>
      <c r="R17" s="30"/>
      <c r="S17" s="30"/>
    </row>
    <row r="18" spans="1:19" ht="5.0999999999999996" customHeight="1" x14ac:dyDescent="0.3">
      <c r="B18" s="316"/>
      <c r="C18" s="317"/>
      <c r="D18" s="317"/>
      <c r="E18" s="317"/>
      <c r="F18" s="317"/>
      <c r="G18" s="317"/>
      <c r="H18" s="317"/>
      <c r="I18" s="317"/>
      <c r="J18" s="315"/>
      <c r="L18" s="30"/>
      <c r="M18" s="30"/>
      <c r="N18" s="30"/>
      <c r="O18" s="30"/>
      <c r="P18" s="30"/>
      <c r="Q18" s="30"/>
      <c r="R18" s="30"/>
      <c r="S18" s="30"/>
    </row>
    <row r="19" spans="1:19" x14ac:dyDescent="0.3">
      <c r="B19" s="316" t="s">
        <v>787</v>
      </c>
      <c r="C19" s="658"/>
      <c r="D19" s="659"/>
      <c r="E19" s="659"/>
      <c r="F19" s="660"/>
      <c r="G19" s="318"/>
      <c r="H19" s="317"/>
      <c r="I19" s="317"/>
      <c r="J19" s="315"/>
      <c r="L19" s="30"/>
      <c r="M19" s="30"/>
      <c r="N19" s="30"/>
      <c r="O19" s="30"/>
      <c r="P19" s="30"/>
      <c r="Q19" s="30"/>
      <c r="R19" s="30"/>
      <c r="S19" s="30"/>
    </row>
    <row r="20" spans="1:19" s="23" customFormat="1" ht="5.0999999999999996" customHeight="1" x14ac:dyDescent="0.3">
      <c r="B20" s="316"/>
      <c r="C20" s="550"/>
      <c r="D20" s="550"/>
      <c r="E20" s="550"/>
      <c r="F20" s="550"/>
      <c r="G20" s="317"/>
      <c r="H20" s="317"/>
      <c r="I20" s="317"/>
      <c r="J20" s="315"/>
      <c r="L20" s="30"/>
      <c r="M20" s="30"/>
      <c r="N20" s="30"/>
      <c r="O20" s="30"/>
      <c r="P20" s="30"/>
      <c r="Q20" s="30"/>
      <c r="R20" s="30"/>
      <c r="S20" s="30"/>
    </row>
    <row r="21" spans="1:19" s="23" customFormat="1" ht="15" customHeight="1" x14ac:dyDescent="0.3">
      <c r="B21" s="615" t="s">
        <v>809</v>
      </c>
      <c r="C21" s="673"/>
      <c r="D21" s="674"/>
      <c r="E21" s="674"/>
      <c r="F21" s="674"/>
      <c r="G21" s="674"/>
      <c r="H21" s="674"/>
      <c r="I21" s="675"/>
      <c r="J21" s="315"/>
      <c r="L21" s="30"/>
      <c r="M21" s="30"/>
      <c r="N21" s="30"/>
      <c r="O21" s="30"/>
      <c r="P21" s="30"/>
      <c r="Q21" s="30"/>
      <c r="R21" s="30"/>
      <c r="S21" s="30"/>
    </row>
    <row r="22" spans="1:19" ht="5.0999999999999996" customHeight="1" x14ac:dyDescent="0.3">
      <c r="B22" s="316"/>
      <c r="C22" s="317"/>
      <c r="D22" s="317"/>
      <c r="E22" s="317"/>
      <c r="F22" s="317"/>
      <c r="G22" s="317"/>
      <c r="H22" s="317"/>
      <c r="I22" s="317"/>
      <c r="J22" s="315"/>
      <c r="L22" s="30"/>
      <c r="M22" s="30"/>
      <c r="N22" s="30"/>
      <c r="O22" s="30"/>
      <c r="P22" s="30"/>
      <c r="Q22" s="30"/>
      <c r="R22" s="30"/>
      <c r="S22" s="30"/>
    </row>
    <row r="23" spans="1:19" x14ac:dyDescent="0.3">
      <c r="B23" s="316" t="s">
        <v>810</v>
      </c>
      <c r="C23" s="664"/>
      <c r="D23" s="665"/>
      <c r="E23" s="665"/>
      <c r="F23" s="665"/>
      <c r="G23" s="665"/>
      <c r="H23" s="665"/>
      <c r="I23" s="666"/>
      <c r="J23" s="315"/>
      <c r="L23" s="30"/>
      <c r="M23" s="30"/>
      <c r="N23" s="30"/>
      <c r="O23" s="30"/>
      <c r="P23" s="30"/>
      <c r="Q23" s="30"/>
      <c r="R23" s="30"/>
      <c r="S23" s="30"/>
    </row>
    <row r="24" spans="1:19" x14ac:dyDescent="0.3">
      <c r="B24" s="313"/>
      <c r="C24" s="667"/>
      <c r="D24" s="668"/>
      <c r="E24" s="668"/>
      <c r="F24" s="668"/>
      <c r="G24" s="668"/>
      <c r="H24" s="668"/>
      <c r="I24" s="669"/>
      <c r="J24" s="315"/>
      <c r="L24" s="30"/>
      <c r="M24" s="30"/>
      <c r="N24" s="30"/>
      <c r="O24" s="30"/>
      <c r="P24" s="30"/>
      <c r="Q24" s="30"/>
      <c r="R24" s="30"/>
      <c r="S24" s="30"/>
    </row>
    <row r="25" spans="1:19" x14ac:dyDescent="0.3">
      <c r="B25" s="313"/>
      <c r="C25" s="670"/>
      <c r="D25" s="671"/>
      <c r="E25" s="671"/>
      <c r="F25" s="671"/>
      <c r="G25" s="671"/>
      <c r="H25" s="671"/>
      <c r="I25" s="672"/>
      <c r="J25" s="315"/>
      <c r="L25" s="30"/>
      <c r="M25" s="30"/>
      <c r="N25" s="30"/>
      <c r="O25" s="30"/>
      <c r="P25" s="30"/>
      <c r="Q25" s="30"/>
      <c r="R25" s="30"/>
      <c r="S25" s="30"/>
    </row>
    <row r="26" spans="1:19" x14ac:dyDescent="0.3">
      <c r="B26" s="313"/>
      <c r="C26" s="317"/>
      <c r="D26" s="317"/>
      <c r="E26" s="317"/>
      <c r="F26" s="317"/>
      <c r="G26" s="317"/>
      <c r="H26" s="317"/>
      <c r="I26" s="317"/>
      <c r="J26" s="315"/>
      <c r="L26" s="30"/>
      <c r="M26" s="30"/>
      <c r="N26" s="30"/>
      <c r="O26" s="30"/>
      <c r="P26" s="30"/>
      <c r="Q26" s="30"/>
      <c r="R26" s="30"/>
      <c r="S26" s="30"/>
    </row>
    <row r="27" spans="1:19" x14ac:dyDescent="0.3">
      <c r="B27" s="316" t="s">
        <v>92</v>
      </c>
      <c r="C27" s="655"/>
      <c r="D27" s="656"/>
      <c r="E27" s="657"/>
      <c r="F27" s="319"/>
      <c r="G27" s="317"/>
      <c r="H27" s="320" t="s">
        <v>93</v>
      </c>
      <c r="I27" s="215"/>
      <c r="J27" s="315"/>
      <c r="L27" s="30"/>
      <c r="M27" s="30"/>
      <c r="N27" s="30"/>
      <c r="O27" s="30"/>
      <c r="P27" s="30"/>
      <c r="Q27" s="30"/>
      <c r="R27" s="30"/>
      <c r="S27" s="30"/>
    </row>
    <row r="28" spans="1:19" ht="5.0999999999999996" customHeight="1" x14ac:dyDescent="0.3">
      <c r="B28" s="316"/>
      <c r="C28" s="6"/>
      <c r="D28" s="6"/>
      <c r="E28" s="6"/>
      <c r="F28" s="317"/>
      <c r="G28" s="317"/>
      <c r="H28" s="317"/>
      <c r="I28" s="317"/>
      <c r="J28" s="315"/>
      <c r="L28" s="30"/>
      <c r="M28" s="30"/>
      <c r="N28" s="30"/>
      <c r="O28" s="30"/>
      <c r="P28" s="30"/>
      <c r="Q28" s="30"/>
      <c r="R28" s="30"/>
      <c r="S28" s="30"/>
    </row>
    <row r="29" spans="1:19" x14ac:dyDescent="0.3">
      <c r="B29" s="316" t="s">
        <v>94</v>
      </c>
      <c r="C29" s="655"/>
      <c r="D29" s="656"/>
      <c r="E29" s="657"/>
      <c r="F29" s="321"/>
      <c r="G29" s="317"/>
      <c r="H29" s="320" t="s">
        <v>95</v>
      </c>
      <c r="I29" s="611"/>
      <c r="J29" s="315"/>
      <c r="L29" s="30"/>
      <c r="M29" s="30"/>
      <c r="N29" s="30"/>
      <c r="O29" s="30"/>
      <c r="P29" s="30"/>
      <c r="Q29" s="30"/>
      <c r="R29" s="30"/>
      <c r="S29" s="30"/>
    </row>
    <row r="30" spans="1:19" x14ac:dyDescent="0.3">
      <c r="B30" s="313"/>
      <c r="C30" s="550"/>
      <c r="D30" s="550"/>
      <c r="E30" s="550"/>
      <c r="F30" s="317"/>
      <c r="G30" s="317"/>
      <c r="H30" s="317"/>
      <c r="I30" s="317"/>
      <c r="J30" s="315"/>
      <c r="L30" s="30"/>
      <c r="M30" s="30"/>
      <c r="N30" s="30"/>
      <c r="O30" s="30"/>
      <c r="P30" s="30"/>
      <c r="Q30" s="30"/>
      <c r="R30" s="30"/>
      <c r="S30" s="30"/>
    </row>
    <row r="31" spans="1:19" x14ac:dyDescent="0.3">
      <c r="B31" s="316" t="s">
        <v>96</v>
      </c>
      <c r="C31" s="655"/>
      <c r="D31" s="656"/>
      <c r="E31" s="657"/>
      <c r="F31" s="321"/>
      <c r="G31" s="317"/>
      <c r="H31" s="320" t="s">
        <v>93</v>
      </c>
      <c r="I31" s="215"/>
      <c r="J31" s="315"/>
      <c r="L31" s="30"/>
      <c r="M31" s="30"/>
      <c r="N31" s="30"/>
      <c r="O31" s="30"/>
      <c r="P31" s="30"/>
      <c r="Q31" s="30"/>
      <c r="R31" s="30"/>
      <c r="S31" s="30"/>
    </row>
    <row r="32" spans="1:19" ht="5.0999999999999996" customHeight="1" x14ac:dyDescent="0.3">
      <c r="A32" s="7"/>
      <c r="B32" s="316"/>
      <c r="C32" s="6"/>
      <c r="D32" s="6"/>
      <c r="E32" s="6"/>
      <c r="F32" s="317"/>
      <c r="G32" s="317"/>
      <c r="H32" s="317"/>
      <c r="I32" s="317"/>
      <c r="J32" s="315"/>
      <c r="K32" s="7"/>
      <c r="L32" s="6"/>
      <c r="M32" s="30"/>
      <c r="N32" s="30"/>
      <c r="O32" s="30"/>
      <c r="P32" s="30"/>
      <c r="Q32" s="30"/>
      <c r="R32" s="30"/>
      <c r="S32" s="30"/>
    </row>
    <row r="33" spans="2:19" x14ac:dyDescent="0.3">
      <c r="B33" s="316" t="s">
        <v>94</v>
      </c>
      <c r="C33" s="655"/>
      <c r="D33" s="656"/>
      <c r="E33" s="657"/>
      <c r="F33" s="321"/>
      <c r="G33" s="317"/>
      <c r="H33" s="320" t="s">
        <v>95</v>
      </c>
      <c r="I33" s="611"/>
      <c r="J33" s="315"/>
      <c r="L33" s="30"/>
      <c r="M33" s="30"/>
      <c r="N33" s="30"/>
      <c r="O33" s="30"/>
      <c r="P33" s="30"/>
      <c r="Q33" s="30"/>
      <c r="R33" s="30"/>
      <c r="S33" s="30"/>
    </row>
    <row r="34" spans="2:19" x14ac:dyDescent="0.3">
      <c r="B34" s="313"/>
      <c r="C34" s="317"/>
      <c r="D34" s="317"/>
      <c r="E34" s="317"/>
      <c r="F34" s="317"/>
      <c r="G34" s="317"/>
      <c r="H34" s="317"/>
      <c r="I34" s="317"/>
      <c r="J34" s="315"/>
      <c r="L34" s="30"/>
      <c r="M34" s="30"/>
      <c r="N34" s="30"/>
      <c r="O34" s="30"/>
      <c r="P34" s="30"/>
      <c r="Q34" s="30"/>
      <c r="R34" s="30"/>
      <c r="S34" s="30"/>
    </row>
    <row r="35" spans="2:19" ht="15.6" x14ac:dyDescent="0.3">
      <c r="B35" s="322" t="s">
        <v>97</v>
      </c>
      <c r="C35" s="317"/>
      <c r="D35" s="317"/>
      <c r="E35" s="317"/>
      <c r="F35" s="317"/>
      <c r="G35" s="317"/>
      <c r="H35" s="317"/>
      <c r="I35" s="317"/>
      <c r="J35" s="315"/>
      <c r="L35" s="30"/>
      <c r="M35" s="30"/>
      <c r="N35" s="30"/>
      <c r="O35" s="30"/>
      <c r="P35" s="30"/>
      <c r="Q35" s="30"/>
      <c r="R35" s="30"/>
      <c r="S35" s="30"/>
    </row>
    <row r="36" spans="2:19" s="23" customFormat="1" ht="5.0999999999999996" customHeight="1" x14ac:dyDescent="0.3">
      <c r="B36" s="322"/>
      <c r="C36" s="317"/>
      <c r="D36" s="317"/>
      <c r="E36" s="317"/>
      <c r="F36" s="317"/>
      <c r="G36" s="317"/>
      <c r="H36" s="317"/>
      <c r="I36" s="317"/>
      <c r="J36" s="315"/>
      <c r="L36" s="30"/>
      <c r="M36" s="30"/>
      <c r="N36" s="30"/>
      <c r="O36" s="30"/>
      <c r="P36" s="30"/>
      <c r="Q36" s="30"/>
      <c r="R36" s="30"/>
      <c r="S36" s="30"/>
    </row>
    <row r="37" spans="2:19" x14ac:dyDescent="0.3">
      <c r="B37" s="316" t="s">
        <v>425</v>
      </c>
      <c r="C37" s="661"/>
      <c r="D37" s="662"/>
      <c r="E37" s="663"/>
      <c r="F37" s="317"/>
      <c r="G37" s="317"/>
      <c r="H37" s="317"/>
      <c r="I37" s="317"/>
      <c r="J37" s="315"/>
      <c r="L37" s="30"/>
      <c r="M37" s="30"/>
      <c r="N37" s="30"/>
      <c r="O37" s="30"/>
      <c r="P37" s="30"/>
      <c r="Q37" s="30"/>
      <c r="R37" s="30"/>
      <c r="S37" s="30"/>
    </row>
    <row r="38" spans="2:19" s="23" customFormat="1" ht="5.0999999999999996" customHeight="1" x14ac:dyDescent="0.3">
      <c r="B38" s="316"/>
      <c r="C38" s="551"/>
      <c r="D38" s="551"/>
      <c r="E38" s="551"/>
      <c r="F38" s="317"/>
      <c r="G38" s="317"/>
      <c r="H38" s="317"/>
      <c r="I38" s="317"/>
      <c r="J38" s="315"/>
      <c r="L38" s="30"/>
      <c r="M38" s="30"/>
      <c r="N38" s="30"/>
      <c r="O38" s="30"/>
      <c r="P38" s="30"/>
      <c r="Q38" s="30"/>
      <c r="R38" s="30"/>
      <c r="S38" s="30"/>
    </row>
    <row r="39" spans="2:19" x14ac:dyDescent="0.3">
      <c r="B39" s="316" t="s">
        <v>91</v>
      </c>
      <c r="C39" s="658"/>
      <c r="D39" s="659"/>
      <c r="E39" s="660"/>
      <c r="F39" s="317"/>
      <c r="G39" s="317"/>
      <c r="H39" s="317"/>
      <c r="I39" s="317"/>
      <c r="J39" s="315"/>
      <c r="L39" s="30"/>
      <c r="M39" s="30"/>
      <c r="N39" s="30"/>
      <c r="O39" s="30"/>
      <c r="P39" s="30"/>
      <c r="Q39" s="30"/>
      <c r="R39" s="30"/>
      <c r="S39" s="30"/>
    </row>
    <row r="40" spans="2:19" s="23" customFormat="1" ht="5.0999999999999996" customHeight="1" x14ac:dyDescent="0.3">
      <c r="B40" s="316"/>
      <c r="C40" s="552"/>
      <c r="D40" s="552"/>
      <c r="E40" s="552"/>
      <c r="F40" s="317"/>
      <c r="G40" s="317"/>
      <c r="H40" s="317"/>
      <c r="I40" s="317"/>
      <c r="J40" s="315"/>
      <c r="L40" s="30"/>
      <c r="M40" s="30"/>
      <c r="N40" s="30"/>
      <c r="O40" s="30"/>
      <c r="P40" s="30"/>
      <c r="Q40" s="30"/>
      <c r="R40" s="30"/>
      <c r="S40" s="30"/>
    </row>
    <row r="41" spans="2:19" x14ac:dyDescent="0.3">
      <c r="B41" s="456" t="s">
        <v>444</v>
      </c>
      <c r="C41" s="658"/>
      <c r="D41" s="659"/>
      <c r="E41" s="660"/>
      <c r="F41" s="553" t="s">
        <v>765</v>
      </c>
      <c r="G41" s="685"/>
      <c r="H41" s="685"/>
      <c r="I41" s="685"/>
      <c r="J41" s="315"/>
      <c r="L41" s="30"/>
      <c r="M41" s="30"/>
      <c r="N41" s="30"/>
      <c r="O41" s="30"/>
      <c r="P41" s="30"/>
      <c r="Q41" s="30"/>
      <c r="R41" s="30"/>
      <c r="S41" s="30"/>
    </row>
    <row r="42" spans="2:19" s="23" customFormat="1" ht="5.0999999999999996" customHeight="1" x14ac:dyDescent="0.3">
      <c r="B42" s="316"/>
      <c r="C42" s="552"/>
      <c r="D42" s="552"/>
      <c r="E42" s="552"/>
      <c r="F42" s="554"/>
      <c r="G42" s="323"/>
      <c r="H42" s="323"/>
      <c r="I42" s="323"/>
      <c r="J42" s="315"/>
    </row>
    <row r="43" spans="2:19" x14ac:dyDescent="0.3">
      <c r="B43" s="456" t="s">
        <v>443</v>
      </c>
      <c r="C43" s="658"/>
      <c r="D43" s="659"/>
      <c r="E43" s="660"/>
      <c r="F43" s="553" t="s">
        <v>765</v>
      </c>
      <c r="G43" s="685"/>
      <c r="H43" s="685"/>
      <c r="I43" s="685"/>
      <c r="J43" s="315"/>
    </row>
    <row r="44" spans="2:19" s="23" customFormat="1" x14ac:dyDescent="0.3">
      <c r="B44" s="539"/>
      <c r="C44" s="543"/>
      <c r="D44" s="543"/>
      <c r="E44" s="543"/>
      <c r="F44" s="540"/>
      <c r="G44" s="541"/>
      <c r="H44" s="541"/>
      <c r="I44" s="541"/>
      <c r="J44" s="542"/>
    </row>
    <row r="45" spans="2:19" x14ac:dyDescent="0.3">
      <c r="B45" s="324"/>
      <c r="C45" s="325" t="s">
        <v>775</v>
      </c>
      <c r="D45" s="325"/>
      <c r="E45" s="325"/>
      <c r="F45" s="325"/>
      <c r="G45" s="325"/>
      <c r="H45" s="325"/>
      <c r="I45" s="325"/>
      <c r="J45" s="326"/>
    </row>
    <row r="46" spans="2:19" x14ac:dyDescent="0.3">
      <c r="B46" s="8"/>
      <c r="C46" s="8"/>
      <c r="D46" s="8"/>
      <c r="E46" s="8"/>
      <c r="F46" s="8"/>
      <c r="G46" s="8"/>
      <c r="H46" s="8"/>
      <c r="I46" s="8"/>
      <c r="J46" s="8"/>
    </row>
    <row r="47" spans="2:19" ht="15.6" x14ac:dyDescent="0.3">
      <c r="B47" s="204" t="s">
        <v>98</v>
      </c>
      <c r="C47" s="207"/>
      <c r="D47" s="208"/>
      <c r="E47" s="208"/>
      <c r="F47" s="208"/>
      <c r="G47" s="208"/>
      <c r="H47" s="208"/>
      <c r="I47" s="208"/>
      <c r="J47" s="209"/>
    </row>
    <row r="48" spans="2:19" x14ac:dyDescent="0.3">
      <c r="B48" s="216"/>
      <c r="C48" s="217"/>
      <c r="D48" s="218"/>
      <c r="E48" s="218"/>
      <c r="F48" s="218"/>
      <c r="G48" s="218"/>
      <c r="H48" s="218"/>
      <c r="I48" s="218"/>
      <c r="J48" s="219"/>
    </row>
    <row r="49" spans="2:10" x14ac:dyDescent="0.3">
      <c r="B49" s="220" t="s">
        <v>99</v>
      </c>
      <c r="C49" s="686"/>
      <c r="D49" s="686"/>
      <c r="E49" s="686"/>
      <c r="F49" s="686"/>
      <c r="G49" s="221"/>
      <c r="H49" s="222" t="s">
        <v>100</v>
      </c>
      <c r="I49" s="223"/>
      <c r="J49" s="224"/>
    </row>
    <row r="50" spans="2:10" x14ac:dyDescent="0.3">
      <c r="B50" s="220"/>
      <c r="C50" s="218"/>
      <c r="D50" s="218"/>
      <c r="E50" s="218"/>
      <c r="F50" s="218"/>
      <c r="G50" s="221"/>
      <c r="H50" s="222"/>
      <c r="I50" s="218"/>
      <c r="J50" s="224"/>
    </row>
    <row r="51" spans="2:10" x14ac:dyDescent="0.3">
      <c r="B51" s="220" t="s">
        <v>101</v>
      </c>
      <c r="C51" s="686"/>
      <c r="D51" s="686"/>
      <c r="E51" s="686"/>
      <c r="F51" s="686"/>
      <c r="G51" s="221"/>
      <c r="H51" s="222" t="s">
        <v>100</v>
      </c>
      <c r="I51" s="223"/>
      <c r="J51" s="224"/>
    </row>
    <row r="52" spans="2:10" x14ac:dyDescent="0.3">
      <c r="B52" s="220"/>
      <c r="C52" s="218"/>
      <c r="D52" s="218"/>
      <c r="E52" s="218"/>
      <c r="F52" s="218"/>
      <c r="G52" s="221"/>
      <c r="H52" s="222"/>
      <c r="I52" s="218"/>
      <c r="J52" s="224"/>
    </row>
    <row r="53" spans="2:10" x14ac:dyDescent="0.3">
      <c r="B53" s="220" t="s">
        <v>102</v>
      </c>
      <c r="C53" s="686"/>
      <c r="D53" s="686"/>
      <c r="E53" s="686"/>
      <c r="F53" s="686"/>
      <c r="G53" s="221"/>
      <c r="H53" s="222" t="s">
        <v>100</v>
      </c>
      <c r="I53" s="223"/>
      <c r="J53" s="224"/>
    </row>
    <row r="54" spans="2:10" x14ac:dyDescent="0.3">
      <c r="B54" s="220"/>
      <c r="C54" s="218"/>
      <c r="D54" s="218"/>
      <c r="E54" s="218"/>
      <c r="F54" s="218"/>
      <c r="G54" s="221"/>
      <c r="H54" s="222"/>
      <c r="I54" s="218"/>
      <c r="J54" s="224"/>
    </row>
    <row r="55" spans="2:10" ht="16.2" x14ac:dyDescent="0.3">
      <c r="B55" s="220" t="s">
        <v>442</v>
      </c>
      <c r="C55" s="686"/>
      <c r="D55" s="686"/>
      <c r="E55" s="686"/>
      <c r="F55" s="686"/>
      <c r="G55" s="221"/>
      <c r="H55" s="222" t="s">
        <v>100</v>
      </c>
      <c r="I55" s="223"/>
      <c r="J55" s="224"/>
    </row>
    <row r="56" spans="2:10" x14ac:dyDescent="0.3">
      <c r="B56" s="225"/>
      <c r="C56" s="226"/>
      <c r="D56" s="226"/>
      <c r="E56" s="226"/>
      <c r="F56" s="226"/>
      <c r="G56" s="226"/>
      <c r="H56" s="226"/>
      <c r="I56" s="226"/>
      <c r="J56" s="227"/>
    </row>
    <row r="57" spans="2:10" x14ac:dyDescent="0.3">
      <c r="B57" s="205"/>
      <c r="C57" s="206"/>
      <c r="D57" s="206"/>
      <c r="E57" s="206"/>
      <c r="F57" s="206"/>
      <c r="G57" s="206"/>
      <c r="H57" s="206"/>
      <c r="I57" s="206"/>
      <c r="J57" s="2"/>
    </row>
  </sheetData>
  <sheetProtection insertColumns="0"/>
  <mergeCells count="22">
    <mergeCell ref="G43:I43"/>
    <mergeCell ref="C53:F53"/>
    <mergeCell ref="C55:F55"/>
    <mergeCell ref="C41:E41"/>
    <mergeCell ref="C49:F49"/>
    <mergeCell ref="C51:F51"/>
    <mergeCell ref="C43:E43"/>
    <mergeCell ref="G41:I41"/>
    <mergeCell ref="A1:K1"/>
    <mergeCell ref="A2:K2"/>
    <mergeCell ref="A3:K3"/>
    <mergeCell ref="C10:F10"/>
    <mergeCell ref="C12:I14"/>
    <mergeCell ref="C33:E33"/>
    <mergeCell ref="C39:E39"/>
    <mergeCell ref="C37:E37"/>
    <mergeCell ref="C19:F19"/>
    <mergeCell ref="C23:I25"/>
    <mergeCell ref="C27:E27"/>
    <mergeCell ref="C29:E29"/>
    <mergeCell ref="C31:E31"/>
    <mergeCell ref="C21:I21"/>
  </mergeCells>
  <conditionalFormatting sqref="G44:I44">
    <cfRule type="containsText" dxfId="40" priority="1" operator="containsText" text="off">
      <formula>NOT(ISERROR(SEARCH("off",G44)))</formula>
    </cfRule>
  </conditionalFormatting>
  <dataValidations count="3">
    <dataValidation type="list" allowBlank="1" showInputMessage="1" showErrorMessage="1" sqref="C41:E42" xr:uid="{00000000-0002-0000-0000-000000000000}">
      <formula1>Material_Class</formula1>
    </dataValidation>
    <dataValidation type="list" allowBlank="1" showInputMessage="1" showErrorMessage="1" sqref="C44:E44" xr:uid="{00000000-0002-0000-0000-000001000000}">
      <formula1>INDIRECT(SUBSTITUTE(SUBSTITUTE($C$41," &amp; ", " "), " ", "_"))</formula1>
    </dataValidation>
    <dataValidation type="list" allowBlank="1" showInputMessage="1" showErrorMessage="1" sqref="C43:E43" xr:uid="{00000000-0002-0000-0000-000002000000}">
      <formula1>INDIRECT(SUBSTITUTE(SUBSTITUTE($C$41, " &amp; ", " "), " ","_"))</formula1>
    </dataValidation>
  </dataValidations>
  <pageMargins left="0.7" right="0.7" top="0.75" bottom="0.75" header="0.3" footer="0.3"/>
  <pageSetup scale="88" orientation="portrait" horizontalDpi="1200" verticalDpi="1200"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
  <sheetViews>
    <sheetView zoomScaleNormal="100" workbookViewId="0">
      <selection activeCell="L18" sqref="L18"/>
    </sheetView>
  </sheetViews>
  <sheetFormatPr defaultColWidth="9.109375" defaultRowHeight="14.4" x14ac:dyDescent="0.3"/>
  <cols>
    <col min="1" max="1" width="2.6640625" style="23" customWidth="1"/>
    <col min="2" max="2" width="24.109375" style="23" customWidth="1"/>
    <col min="3" max="3" width="9.109375" style="23"/>
    <col min="4" max="4" width="11.88671875" style="23" customWidth="1"/>
    <col min="5" max="6" width="5.6640625" style="23" customWidth="1"/>
    <col min="7" max="8" width="9.109375" style="23"/>
    <col min="9" max="9" width="9.109375" style="23" customWidth="1"/>
    <col min="10" max="10" width="3.6640625" style="23" customWidth="1"/>
    <col min="11" max="11" width="2.6640625" style="23" customWidth="1"/>
    <col min="12" max="16384" width="9.109375" style="23"/>
  </cols>
  <sheetData>
    <row r="1" spans="1:13" ht="20.100000000000001" customHeight="1" x14ac:dyDescent="0.35">
      <c r="A1" s="544"/>
      <c r="B1" s="545"/>
      <c r="C1" s="545"/>
      <c r="D1" s="545" t="s">
        <v>776</v>
      </c>
      <c r="E1" s="545"/>
      <c r="F1" s="545"/>
      <c r="G1" s="545"/>
      <c r="H1" s="545"/>
      <c r="I1" s="545"/>
      <c r="J1" s="545"/>
      <c r="K1" s="546"/>
      <c r="L1" s="14"/>
      <c r="M1" s="14"/>
    </row>
    <row r="2" spans="1:13" ht="15" customHeight="1" x14ac:dyDescent="0.35">
      <c r="A2" s="14"/>
      <c r="B2" s="14"/>
      <c r="C2" s="14"/>
      <c r="D2" s="14"/>
      <c r="E2" s="14"/>
      <c r="F2" s="14"/>
      <c r="G2" s="14"/>
      <c r="H2" s="14"/>
      <c r="I2" s="14"/>
      <c r="J2" s="14"/>
      <c r="K2" s="14"/>
      <c r="L2" s="14"/>
      <c r="M2" s="14"/>
    </row>
    <row r="3" spans="1:13" ht="15" customHeight="1" x14ac:dyDescent="0.3">
      <c r="B3" s="310" t="s">
        <v>311</v>
      </c>
      <c r="C3" s="311"/>
      <c r="D3" s="311"/>
      <c r="E3" s="311"/>
      <c r="F3" s="311"/>
      <c r="G3" s="311"/>
      <c r="H3" s="311"/>
      <c r="I3" s="311"/>
      <c r="J3" s="312"/>
    </row>
    <row r="4" spans="1:13" ht="15" customHeight="1" x14ac:dyDescent="0.3">
      <c r="B4" s="313"/>
      <c r="C4" s="314"/>
      <c r="D4" s="314"/>
      <c r="E4" s="314"/>
      <c r="F4" s="314"/>
      <c r="G4" s="314"/>
      <c r="H4" s="314"/>
      <c r="I4" s="314"/>
      <c r="J4" s="315"/>
    </row>
    <row r="5" spans="1:13" ht="15" customHeight="1" x14ac:dyDescent="0.3">
      <c r="B5" s="316" t="s">
        <v>88</v>
      </c>
      <c r="C5" s="175" t="str">
        <f>IF(ISTEXT('Title Sheet'!C8), 'Title Sheet'!C8, "")</f>
        <v/>
      </c>
      <c r="D5" s="314"/>
      <c r="E5" s="314"/>
      <c r="F5" s="314"/>
      <c r="G5" s="314"/>
      <c r="H5" s="314"/>
      <c r="I5" s="314"/>
      <c r="J5" s="315"/>
    </row>
    <row r="6" spans="1:13" ht="15" customHeight="1" x14ac:dyDescent="0.3">
      <c r="B6" s="316" t="s">
        <v>91</v>
      </c>
      <c r="C6" s="176" t="str">
        <f>IF(ISTEXT('Title Sheet'!C16), 'Title Sheet'!C16, "")</f>
        <v/>
      </c>
      <c r="D6" s="314"/>
      <c r="E6" s="314"/>
      <c r="F6" s="314"/>
      <c r="G6" s="314"/>
      <c r="H6" s="314"/>
      <c r="I6" s="314"/>
      <c r="J6" s="315"/>
    </row>
    <row r="7" spans="1:13" ht="15" customHeight="1" x14ac:dyDescent="0.3">
      <c r="B7" s="316" t="s">
        <v>411</v>
      </c>
      <c r="C7" s="343" t="str">
        <f>IF(ISTEXT('Title Sheet'!C17), 'Title Sheet'!C17, "")</f>
        <v/>
      </c>
      <c r="D7" s="314"/>
      <c r="E7" s="314"/>
      <c r="F7" s="314"/>
      <c r="G7" s="314"/>
      <c r="H7" s="314"/>
      <c r="I7" s="314"/>
      <c r="J7" s="315"/>
    </row>
    <row r="8" spans="1:13" ht="15" customHeight="1" x14ac:dyDescent="0.3">
      <c r="B8" s="313"/>
      <c r="C8" s="314"/>
      <c r="D8" s="314"/>
      <c r="E8" s="314"/>
      <c r="F8" s="314"/>
      <c r="G8" s="314"/>
      <c r="H8" s="314"/>
      <c r="I8" s="314"/>
      <c r="J8" s="315"/>
    </row>
    <row r="9" spans="1:13" ht="15" customHeight="1" x14ac:dyDescent="0.3">
      <c r="B9" s="535" t="s">
        <v>772</v>
      </c>
      <c r="C9" s="314"/>
      <c r="D9" s="314"/>
      <c r="E9" s="314"/>
      <c r="F9" s="314"/>
      <c r="G9" s="314"/>
      <c r="H9" s="314"/>
      <c r="I9" s="314"/>
      <c r="J9" s="315"/>
    </row>
    <row r="10" spans="1:13" ht="5.0999999999999996" customHeight="1" x14ac:dyDescent="0.3">
      <c r="B10" s="322"/>
      <c r="C10" s="314"/>
      <c r="D10" s="314"/>
      <c r="E10" s="314"/>
      <c r="F10" s="314"/>
      <c r="G10" s="314"/>
      <c r="H10" s="314"/>
      <c r="I10" s="314"/>
      <c r="J10" s="315"/>
    </row>
    <row r="11" spans="1:13" ht="15" customHeight="1" x14ac:dyDescent="0.3">
      <c r="B11" s="316" t="s">
        <v>425</v>
      </c>
      <c r="C11" s="688" t="str">
        <f>IF(ISTEXT('Title Sheet'!C37), 'Title Sheet'!C37, "")</f>
        <v/>
      </c>
      <c r="D11" s="689"/>
      <c r="E11" s="690"/>
      <c r="F11" s="314"/>
      <c r="G11" s="314"/>
      <c r="H11" s="314"/>
      <c r="I11" s="314"/>
      <c r="J11" s="315"/>
    </row>
    <row r="12" spans="1:13" ht="15" customHeight="1" x14ac:dyDescent="0.3">
      <c r="B12" s="316" t="s">
        <v>91</v>
      </c>
      <c r="C12" s="691" t="str">
        <f>IF(ISTEXT('Title Sheet'!C39), 'Title Sheet'!C39, "")</f>
        <v/>
      </c>
      <c r="D12" s="692"/>
      <c r="E12" s="693"/>
      <c r="F12" s="314"/>
      <c r="G12" s="314"/>
      <c r="H12" s="314"/>
      <c r="I12" s="314"/>
      <c r="J12" s="315"/>
    </row>
    <row r="13" spans="1:13" ht="15" customHeight="1" x14ac:dyDescent="0.3">
      <c r="B13" s="313"/>
      <c r="C13" s="314"/>
      <c r="D13" s="314"/>
      <c r="E13" s="314"/>
      <c r="F13" s="327"/>
      <c r="G13" s="327"/>
      <c r="H13" s="327"/>
      <c r="I13" s="327"/>
      <c r="J13" s="315"/>
    </row>
    <row r="14" spans="1:13" ht="15" customHeight="1" x14ac:dyDescent="0.3">
      <c r="B14" s="535" t="s">
        <v>771</v>
      </c>
      <c r="C14" s="314"/>
      <c r="D14" s="314"/>
      <c r="E14" s="314"/>
      <c r="F14" s="327"/>
      <c r="G14" s="327"/>
      <c r="H14" s="327"/>
      <c r="I14" s="327"/>
      <c r="J14" s="315"/>
    </row>
    <row r="15" spans="1:13" ht="5.0999999999999996" customHeight="1" x14ac:dyDescent="0.3">
      <c r="B15" s="313"/>
      <c r="C15" s="314"/>
      <c r="D15" s="314"/>
      <c r="E15" s="314"/>
      <c r="F15" s="314"/>
      <c r="G15" s="314"/>
      <c r="H15" s="314"/>
      <c r="I15" s="314"/>
      <c r="J15" s="315"/>
    </row>
    <row r="16" spans="1:13" ht="15" customHeight="1" x14ac:dyDescent="0.3">
      <c r="B16" s="316" t="s">
        <v>412</v>
      </c>
      <c r="C16" s="698" t="s">
        <v>260</v>
      </c>
      <c r="D16" s="699"/>
      <c r="E16" s="700"/>
      <c r="F16" s="536" t="s">
        <v>765</v>
      </c>
      <c r="G16" s="694" t="str">
        <f>IF(C16="Other", "please specify", "off")</f>
        <v>off</v>
      </c>
      <c r="H16" s="694"/>
      <c r="I16" s="694"/>
      <c r="J16" s="329"/>
    </row>
    <row r="17" spans="2:10" ht="5.0999999999999996" customHeight="1" x14ac:dyDescent="0.3">
      <c r="B17" s="316"/>
      <c r="C17" s="328"/>
      <c r="D17" s="330"/>
      <c r="E17" s="328"/>
      <c r="F17" s="328"/>
      <c r="G17" s="317"/>
      <c r="H17" s="317"/>
      <c r="I17" s="317"/>
      <c r="J17" s="329"/>
    </row>
    <row r="18" spans="2:10" ht="15" customHeight="1" x14ac:dyDescent="0.3">
      <c r="B18" s="316"/>
      <c r="C18" s="331" t="s">
        <v>413</v>
      </c>
      <c r="D18" s="344"/>
      <c r="E18" s="536" t="s">
        <v>765</v>
      </c>
      <c r="F18" s="323"/>
      <c r="G18" s="323"/>
      <c r="H18" s="323"/>
      <c r="I18" s="328"/>
      <c r="J18" s="329"/>
    </row>
    <row r="19" spans="2:10" ht="15" customHeight="1" x14ac:dyDescent="0.3">
      <c r="B19" s="316"/>
      <c r="C19" s="333" t="s">
        <v>414</v>
      </c>
      <c r="D19" s="345"/>
      <c r="E19" s="536" t="s">
        <v>765</v>
      </c>
      <c r="F19" s="694" t="str">
        <f>IF(D19="Other", "please specify", "off")</f>
        <v>off</v>
      </c>
      <c r="G19" s="694"/>
      <c r="H19" s="694"/>
      <c r="I19" s="323"/>
      <c r="J19" s="334"/>
    </row>
    <row r="20" spans="2:10" ht="5.0999999999999996" customHeight="1" x14ac:dyDescent="0.3">
      <c r="B20" s="316"/>
      <c r="C20" s="328"/>
      <c r="D20" s="335"/>
      <c r="E20" s="328"/>
      <c r="F20" s="328"/>
      <c r="G20" s="317"/>
      <c r="H20" s="317"/>
      <c r="I20" s="317"/>
      <c r="J20" s="329"/>
    </row>
    <row r="21" spans="2:10" ht="15" customHeight="1" x14ac:dyDescent="0.3">
      <c r="B21" s="316" t="s">
        <v>415</v>
      </c>
      <c r="C21" s="695"/>
      <c r="D21" s="696"/>
      <c r="E21" s="697"/>
      <c r="F21" s="536" t="s">
        <v>765</v>
      </c>
      <c r="G21" s="336"/>
      <c r="H21" s="336"/>
      <c r="I21" s="336"/>
      <c r="J21" s="315"/>
    </row>
    <row r="22" spans="2:10" ht="15" customHeight="1" x14ac:dyDescent="0.3">
      <c r="B22" s="316"/>
      <c r="C22" s="337"/>
      <c r="D22" s="337"/>
      <c r="E22" s="337"/>
      <c r="F22" s="317"/>
      <c r="G22" s="336"/>
      <c r="H22" s="336"/>
      <c r="I22" s="336"/>
      <c r="J22" s="315"/>
    </row>
    <row r="23" spans="2:10" ht="15" customHeight="1" x14ac:dyDescent="0.3">
      <c r="B23" s="535" t="s">
        <v>773</v>
      </c>
      <c r="C23" s="321"/>
      <c r="D23" s="321"/>
      <c r="E23" s="321"/>
      <c r="F23" s="332"/>
      <c r="G23" s="336"/>
      <c r="H23" s="336"/>
      <c r="I23" s="336"/>
      <c r="J23" s="315"/>
    </row>
    <row r="24" spans="2:10" ht="5.0999999999999996" customHeight="1" x14ac:dyDescent="0.3">
      <c r="B24" s="316"/>
      <c r="C24" s="321"/>
      <c r="D24" s="321"/>
      <c r="E24" s="321"/>
      <c r="F24" s="332"/>
      <c r="G24" s="336"/>
      <c r="H24" s="336"/>
      <c r="I24" s="336"/>
      <c r="J24" s="315"/>
    </row>
    <row r="25" spans="2:10" ht="15" customHeight="1" x14ac:dyDescent="0.3">
      <c r="B25" s="316" t="s">
        <v>416</v>
      </c>
      <c r="C25" s="661"/>
      <c r="D25" s="662"/>
      <c r="E25" s="663"/>
      <c r="F25" s="536" t="s">
        <v>765</v>
      </c>
      <c r="G25" s="694" t="str">
        <f>IF(C25="Other", "please specify", "off")</f>
        <v>off</v>
      </c>
      <c r="H25" s="694"/>
      <c r="I25" s="694"/>
      <c r="J25" s="315"/>
    </row>
    <row r="26" spans="2:10" ht="5.0999999999999996" customHeight="1" x14ac:dyDescent="0.3">
      <c r="B26" s="316"/>
      <c r="C26" s="338"/>
      <c r="D26" s="338"/>
      <c r="E26" s="338"/>
      <c r="F26" s="321"/>
      <c r="G26" s="320"/>
      <c r="H26" s="317"/>
      <c r="I26" s="317"/>
      <c r="J26" s="315"/>
    </row>
    <row r="27" spans="2:10" ht="15" customHeight="1" x14ac:dyDescent="0.3">
      <c r="B27" s="316" t="s">
        <v>417</v>
      </c>
      <c r="C27" s="658"/>
      <c r="D27" s="659"/>
      <c r="E27" s="660"/>
      <c r="F27" s="536" t="s">
        <v>765</v>
      </c>
      <c r="G27" s="694" t="str">
        <f>IF(C27="Other", "please specify", "off")</f>
        <v>off</v>
      </c>
      <c r="H27" s="694"/>
      <c r="I27" s="694"/>
      <c r="J27" s="315"/>
    </row>
    <row r="28" spans="2:10" ht="5.0999999999999996" customHeight="1" x14ac:dyDescent="0.3">
      <c r="B28" s="316"/>
      <c r="C28" s="317"/>
      <c r="D28" s="317"/>
      <c r="E28" s="317"/>
      <c r="F28" s="317"/>
      <c r="G28" s="317"/>
      <c r="H28" s="317"/>
      <c r="I28" s="317"/>
      <c r="J28" s="315"/>
    </row>
    <row r="29" spans="2:10" ht="15" customHeight="1" x14ac:dyDescent="0.3">
      <c r="B29" s="316" t="s">
        <v>418</v>
      </c>
      <c r="C29" s="695"/>
      <c r="D29" s="696"/>
      <c r="E29" s="697"/>
      <c r="F29" s="536" t="s">
        <v>765</v>
      </c>
      <c r="G29" s="323"/>
      <c r="H29" s="323"/>
      <c r="I29" s="323"/>
      <c r="J29" s="315"/>
    </row>
    <row r="30" spans="2:10" ht="5.0999999999999996" customHeight="1" x14ac:dyDescent="0.3">
      <c r="B30" s="316"/>
      <c r="C30" s="317"/>
      <c r="D30" s="317"/>
      <c r="E30" s="317"/>
      <c r="F30" s="317"/>
      <c r="G30" s="317"/>
      <c r="H30" s="317"/>
      <c r="I30" s="317"/>
      <c r="J30" s="315"/>
    </row>
    <row r="31" spans="2:10" ht="15" customHeight="1" x14ac:dyDescent="0.3">
      <c r="B31" s="316" t="s">
        <v>419</v>
      </c>
      <c r="C31" s="664"/>
      <c r="D31" s="665"/>
      <c r="E31" s="665"/>
      <c r="F31" s="665"/>
      <c r="G31" s="665"/>
      <c r="H31" s="665"/>
      <c r="I31" s="666"/>
      <c r="J31" s="315"/>
    </row>
    <row r="32" spans="2:10" ht="15" customHeight="1" x14ac:dyDescent="0.3">
      <c r="B32" s="313"/>
      <c r="C32" s="667"/>
      <c r="D32" s="668"/>
      <c r="E32" s="668"/>
      <c r="F32" s="668"/>
      <c r="G32" s="668"/>
      <c r="H32" s="668"/>
      <c r="I32" s="669"/>
      <c r="J32" s="315"/>
    </row>
    <row r="33" spans="1:11" ht="15" customHeight="1" x14ac:dyDescent="0.3">
      <c r="B33" s="313"/>
      <c r="C33" s="670"/>
      <c r="D33" s="671"/>
      <c r="E33" s="671"/>
      <c r="F33" s="671"/>
      <c r="G33" s="671"/>
      <c r="H33" s="671"/>
      <c r="I33" s="672"/>
      <c r="J33" s="315"/>
    </row>
    <row r="34" spans="1:11" ht="15" customHeight="1" x14ac:dyDescent="0.3">
      <c r="B34" s="313"/>
      <c r="C34" s="336"/>
      <c r="D34" s="336"/>
      <c r="E34" s="336"/>
      <c r="F34" s="336"/>
      <c r="G34" s="336"/>
      <c r="H34" s="336"/>
      <c r="I34" s="336"/>
      <c r="J34" s="315"/>
    </row>
    <row r="35" spans="1:11" ht="15" customHeight="1" x14ac:dyDescent="0.3">
      <c r="B35" s="535" t="s">
        <v>774</v>
      </c>
      <c r="C35" s="317"/>
      <c r="D35" s="317"/>
      <c r="E35" s="317"/>
      <c r="F35" s="317"/>
      <c r="G35" s="317"/>
      <c r="H35" s="317"/>
      <c r="I35" s="317"/>
      <c r="J35" s="315"/>
    </row>
    <row r="36" spans="1:11" ht="5.0999999999999996" customHeight="1" x14ac:dyDescent="0.3">
      <c r="B36" s="316"/>
      <c r="C36" s="317"/>
      <c r="D36" s="317"/>
      <c r="E36" s="317"/>
      <c r="F36" s="317"/>
      <c r="G36" s="317"/>
      <c r="H36" s="317"/>
      <c r="I36" s="317"/>
      <c r="J36" s="315"/>
    </row>
    <row r="37" spans="1:11" ht="15" customHeight="1" x14ac:dyDescent="0.3">
      <c r="B37" s="316" t="s">
        <v>420</v>
      </c>
      <c r="C37" s="698"/>
      <c r="D37" s="699"/>
      <c r="E37" s="700"/>
      <c r="F37" s="536" t="s">
        <v>765</v>
      </c>
      <c r="G37" s="701" t="str">
        <f>IF(C37="Other", "please specify", "off")</f>
        <v>off</v>
      </c>
      <c r="H37" s="701"/>
      <c r="I37" s="701"/>
      <c r="J37" s="315"/>
    </row>
    <row r="38" spans="1:11" ht="5.0999999999999996" customHeight="1" x14ac:dyDescent="0.3">
      <c r="B38" s="316"/>
      <c r="C38" s="338"/>
      <c r="D38" s="338"/>
      <c r="E38" s="338"/>
      <c r="F38" s="321"/>
      <c r="G38" s="320"/>
      <c r="H38" s="317"/>
      <c r="I38" s="317"/>
      <c r="J38" s="315"/>
    </row>
    <row r="39" spans="1:11" ht="15" customHeight="1" x14ac:dyDescent="0.3">
      <c r="A39" s="29"/>
      <c r="B39" s="316" t="s">
        <v>421</v>
      </c>
      <c r="C39" s="705"/>
      <c r="D39" s="706"/>
      <c r="E39" s="707"/>
      <c r="F39" s="536" t="s">
        <v>765</v>
      </c>
      <c r="G39" s="701" t="str">
        <f>IF(C39="Other", "please specify", "off")</f>
        <v>off</v>
      </c>
      <c r="H39" s="701"/>
      <c r="I39" s="701"/>
      <c r="J39" s="315"/>
      <c r="K39" s="29"/>
    </row>
    <row r="40" spans="1:11" s="29" customFormat="1" ht="5.0999999999999996" customHeight="1" x14ac:dyDescent="0.3">
      <c r="A40" s="23"/>
      <c r="B40" s="316"/>
      <c r="C40" s="338"/>
      <c r="D40" s="338"/>
      <c r="E40" s="338"/>
      <c r="F40" s="317"/>
      <c r="G40" s="317"/>
      <c r="H40" s="317"/>
      <c r="I40" s="317"/>
      <c r="J40" s="315"/>
      <c r="K40" s="23"/>
    </row>
    <row r="41" spans="1:11" ht="15" customHeight="1" x14ac:dyDescent="0.3">
      <c r="A41" s="7"/>
      <c r="B41" s="339" t="s">
        <v>422</v>
      </c>
      <c r="C41" s="702"/>
      <c r="D41" s="703"/>
      <c r="E41" s="704"/>
      <c r="F41" s="536" t="s">
        <v>765</v>
      </c>
      <c r="G41" s="701" t="str">
        <f>IF(C41="Other", "please specify", "off")</f>
        <v>off</v>
      </c>
      <c r="H41" s="701"/>
      <c r="I41" s="701"/>
      <c r="J41" s="315"/>
      <c r="K41" s="7"/>
    </row>
    <row r="42" spans="1:11" ht="5.0999999999999996" customHeight="1" x14ac:dyDescent="0.3">
      <c r="B42" s="316"/>
      <c r="C42" s="328"/>
      <c r="D42" s="328"/>
      <c r="E42" s="328"/>
      <c r="F42" s="321"/>
      <c r="G42" s="320"/>
      <c r="H42" s="321"/>
      <c r="I42" s="321"/>
      <c r="J42" s="315"/>
    </row>
    <row r="43" spans="1:11" ht="15" customHeight="1" x14ac:dyDescent="0.35">
      <c r="B43" s="316" t="s">
        <v>423</v>
      </c>
      <c r="C43" s="698"/>
      <c r="D43" s="699"/>
      <c r="E43" s="700"/>
      <c r="F43" s="536" t="s">
        <v>765</v>
      </c>
      <c r="G43" s="701" t="str">
        <f>IF(C43="Other", "please specify", "off")</f>
        <v>off</v>
      </c>
      <c r="H43" s="701"/>
      <c r="I43" s="701"/>
      <c r="J43" s="315"/>
    </row>
    <row r="44" spans="1:11" ht="5.0999999999999996" customHeight="1" x14ac:dyDescent="0.3">
      <c r="B44" s="316"/>
      <c r="C44" s="340"/>
      <c r="D44" s="340"/>
      <c r="E44" s="340"/>
      <c r="F44" s="317"/>
      <c r="G44" s="317"/>
      <c r="H44" s="317"/>
      <c r="I44" s="317"/>
      <c r="J44" s="315"/>
    </row>
    <row r="45" spans="1:11" ht="15" customHeight="1" x14ac:dyDescent="0.35">
      <c r="B45" s="316" t="s">
        <v>424</v>
      </c>
      <c r="C45" s="698"/>
      <c r="D45" s="699"/>
      <c r="E45" s="700"/>
      <c r="F45" s="536" t="s">
        <v>765</v>
      </c>
      <c r="G45" s="701" t="str">
        <f>IF(C45="Other", "please specify", "off")</f>
        <v>off</v>
      </c>
      <c r="H45" s="701"/>
      <c r="I45" s="701"/>
      <c r="J45" s="315"/>
    </row>
    <row r="46" spans="1:11" ht="5.0999999999999996" customHeight="1" x14ac:dyDescent="0.3">
      <c r="B46" s="316"/>
      <c r="C46" s="340"/>
      <c r="D46" s="340"/>
      <c r="E46" s="340"/>
      <c r="F46" s="321"/>
      <c r="G46" s="320"/>
      <c r="H46" s="317"/>
      <c r="I46" s="317"/>
      <c r="J46" s="315"/>
    </row>
    <row r="47" spans="1:11" ht="15" customHeight="1" x14ac:dyDescent="0.3">
      <c r="A47" s="8"/>
      <c r="B47" s="316" t="s">
        <v>284</v>
      </c>
      <c r="C47" s="698"/>
      <c r="D47" s="699"/>
      <c r="E47" s="700"/>
      <c r="F47" s="536" t="s">
        <v>765</v>
      </c>
      <c r="G47" s="701" t="str">
        <f>IF(C47="Other", "please specify", "off")</f>
        <v>off</v>
      </c>
      <c r="H47" s="701"/>
      <c r="I47" s="701"/>
      <c r="J47" s="315"/>
      <c r="K47" s="8"/>
    </row>
    <row r="48" spans="1:11" s="8" customFormat="1" ht="15" customHeight="1" x14ac:dyDescent="0.3">
      <c r="B48" s="316"/>
      <c r="C48" s="341"/>
      <c r="D48" s="341"/>
      <c r="E48" s="341"/>
      <c r="F48" s="341"/>
      <c r="G48" s="342"/>
      <c r="H48" s="341"/>
      <c r="I48" s="341"/>
      <c r="J48" s="315"/>
    </row>
    <row r="49" spans="1:11" s="8" customFormat="1" ht="15" customHeight="1" x14ac:dyDescent="0.3">
      <c r="B49" s="324"/>
      <c r="C49" s="325" t="s">
        <v>775</v>
      </c>
      <c r="D49" s="325"/>
      <c r="E49" s="325"/>
      <c r="F49" s="325"/>
      <c r="G49" s="325"/>
      <c r="H49" s="325"/>
      <c r="I49" s="325"/>
      <c r="J49" s="326"/>
    </row>
    <row r="50" spans="1:11" s="8" customFormat="1" x14ac:dyDescent="0.3"/>
    <row r="51" spans="1:11" s="8" customFormat="1" x14ac:dyDescent="0.3"/>
    <row r="52" spans="1:11" s="8" customFormat="1" ht="15.6" x14ac:dyDescent="0.3">
      <c r="B52" s="143"/>
      <c r="C52" s="144"/>
      <c r="D52" s="145"/>
      <c r="E52" s="145"/>
      <c r="F52" s="145"/>
      <c r="G52" s="145"/>
      <c r="H52" s="145"/>
      <c r="I52" s="145"/>
      <c r="J52" s="145"/>
    </row>
    <row r="53" spans="1:11" s="8" customFormat="1" x14ac:dyDescent="0.3">
      <c r="B53" s="146"/>
      <c r="C53" s="100"/>
    </row>
    <row r="54" spans="1:11" s="8" customFormat="1" x14ac:dyDescent="0.3">
      <c r="B54" s="147"/>
      <c r="C54" s="687"/>
      <c r="D54" s="687"/>
      <c r="E54" s="687"/>
      <c r="F54" s="687"/>
      <c r="G54" s="147"/>
      <c r="H54" s="687"/>
      <c r="I54" s="687"/>
    </row>
    <row r="55" spans="1:11" s="8" customFormat="1" x14ac:dyDescent="0.3">
      <c r="B55" s="147"/>
      <c r="G55" s="147"/>
    </row>
    <row r="56" spans="1:11" s="8" customFormat="1" x14ac:dyDescent="0.3">
      <c r="B56" s="147"/>
      <c r="C56" s="687"/>
      <c r="D56" s="687"/>
      <c r="E56" s="687"/>
      <c r="F56" s="687"/>
      <c r="G56" s="147"/>
      <c r="H56" s="687"/>
      <c r="I56" s="687"/>
    </row>
    <row r="57" spans="1:11" s="8" customFormat="1" x14ac:dyDescent="0.3">
      <c r="B57" s="147"/>
      <c r="G57" s="147"/>
    </row>
    <row r="58" spans="1:11" s="8" customFormat="1" x14ac:dyDescent="0.3">
      <c r="B58" s="147"/>
      <c r="C58" s="687"/>
      <c r="D58" s="687"/>
      <c r="E58" s="687"/>
      <c r="F58" s="687"/>
      <c r="G58" s="147"/>
      <c r="H58" s="687"/>
      <c r="I58" s="687"/>
    </row>
    <row r="59" spans="1:11" s="8" customFormat="1" x14ac:dyDescent="0.3">
      <c r="B59" s="147"/>
      <c r="G59" s="147"/>
    </row>
    <row r="60" spans="1:11" s="8" customFormat="1" x14ac:dyDescent="0.3">
      <c r="B60" s="147"/>
      <c r="C60" s="687"/>
      <c r="D60" s="687"/>
      <c r="E60" s="687"/>
      <c r="F60" s="687"/>
      <c r="G60" s="147"/>
      <c r="H60" s="687"/>
      <c r="I60" s="687"/>
    </row>
    <row r="61" spans="1:11" s="8" customFormat="1" x14ac:dyDescent="0.3"/>
    <row r="62" spans="1:11" s="8" customFormat="1" x14ac:dyDescent="0.3">
      <c r="A62" s="23"/>
      <c r="K62" s="23"/>
    </row>
    <row r="63" spans="1:11" x14ac:dyDescent="0.3">
      <c r="B63" s="8"/>
      <c r="C63" s="8"/>
      <c r="D63" s="8"/>
      <c r="E63" s="8"/>
      <c r="F63" s="8"/>
      <c r="G63" s="8"/>
      <c r="H63" s="8"/>
      <c r="I63" s="8"/>
      <c r="J63" s="8"/>
    </row>
    <row r="64" spans="1:11" x14ac:dyDescent="0.3">
      <c r="B64" s="8"/>
      <c r="C64" s="8"/>
      <c r="D64" s="8"/>
      <c r="E64" s="8"/>
      <c r="F64" s="8"/>
      <c r="G64" s="8"/>
      <c r="H64" s="8"/>
      <c r="I64" s="8"/>
      <c r="J64" s="8"/>
    </row>
  </sheetData>
  <mergeCells count="32">
    <mergeCell ref="C47:E47"/>
    <mergeCell ref="C45:E45"/>
    <mergeCell ref="C43:E43"/>
    <mergeCell ref="C41:E41"/>
    <mergeCell ref="C39:E39"/>
    <mergeCell ref="G47:I47"/>
    <mergeCell ref="G45:I45"/>
    <mergeCell ref="G43:I43"/>
    <mergeCell ref="G41:I41"/>
    <mergeCell ref="G39:I39"/>
    <mergeCell ref="C25:E25"/>
    <mergeCell ref="G37:I37"/>
    <mergeCell ref="C37:E37"/>
    <mergeCell ref="C29:E29"/>
    <mergeCell ref="C27:E27"/>
    <mergeCell ref="G27:I27"/>
    <mergeCell ref="C31:I33"/>
    <mergeCell ref="G25:I25"/>
    <mergeCell ref="C11:E11"/>
    <mergeCell ref="C12:E12"/>
    <mergeCell ref="G16:I16"/>
    <mergeCell ref="F19:H19"/>
    <mergeCell ref="C21:E21"/>
    <mergeCell ref="C16:E16"/>
    <mergeCell ref="C58:F58"/>
    <mergeCell ref="H58:I58"/>
    <mergeCell ref="C60:F60"/>
    <mergeCell ref="H60:I60"/>
    <mergeCell ref="C54:F54"/>
    <mergeCell ref="H54:I54"/>
    <mergeCell ref="C56:F56"/>
    <mergeCell ref="H56:I56"/>
  </mergeCells>
  <conditionalFormatting sqref="G25:I25 G27:I27 G47:I47 G37:I37 G39:I39 G41:I41 G43:I43 G45:I45 G16:I16 F18:F19 G18:H18">
    <cfRule type="containsText" dxfId="39" priority="4" operator="containsText" text="off">
      <formula>NOT(ISERROR(SEARCH("off",F16)))</formula>
    </cfRule>
  </conditionalFormatting>
  <dataValidations count="13">
    <dataValidation type="list" allowBlank="1" showInputMessage="1" showErrorMessage="1" sqref="C47:E47" xr:uid="{00000000-0002-0000-0100-000000000000}">
      <formula1>Hg_Sorbent</formula1>
    </dataValidation>
    <dataValidation type="list" allowBlank="1" showInputMessage="1" showErrorMessage="1" sqref="C45:E45" xr:uid="{00000000-0002-0000-0100-000001000000}">
      <formula1>SO3_Control</formula1>
    </dataValidation>
    <dataValidation type="list" allowBlank="1" showInputMessage="1" showErrorMessage="1" sqref="C27:E27" xr:uid="{00000000-0002-0000-0100-000002000000}">
      <formula1>Coal_Region</formula1>
    </dataValidation>
    <dataValidation type="list" allowBlank="1" showInputMessage="1" showErrorMessage="1" sqref="D18" xr:uid="{00000000-0002-0000-0100-000003000000}">
      <formula1>FlyAsh_Class</formula1>
    </dataValidation>
    <dataValidation type="list" allowBlank="1" showInputMessage="1" showErrorMessage="1" sqref="D19" xr:uid="{00000000-0002-0000-0100-000004000000}">
      <formula1>Handling</formula1>
    </dataValidation>
    <dataValidation type="list" allowBlank="1" showInputMessage="1" showErrorMessage="1" sqref="C41:E41" xr:uid="{00000000-0002-0000-0100-000005000000}">
      <formula1>FGD_Additive</formula1>
    </dataValidation>
    <dataValidation type="list" allowBlank="1" showInputMessage="1" showErrorMessage="1" sqref="C16:E16" xr:uid="{00000000-0002-0000-0100-000006000000}">
      <formula1>CCR_Category</formula1>
    </dataValidation>
    <dataValidation type="list" allowBlank="1" showInputMessage="1" showErrorMessage="1" sqref="C21:E21" xr:uid="{00000000-0002-0000-0100-000007000000}">
      <formula1>EPA_Citation</formula1>
    </dataValidation>
    <dataValidation type="list" allowBlank="1" showInputMessage="1" showErrorMessage="1" sqref="C25:E25" xr:uid="{00000000-0002-0000-0100-000008000000}">
      <formula1>Coal_Type</formula1>
    </dataValidation>
    <dataValidation type="list" allowBlank="1" showInputMessage="1" showErrorMessage="1" sqref="C29:E29" xr:uid="{00000000-0002-0000-0100-000009000000}">
      <formula1>Facility</formula1>
    </dataValidation>
    <dataValidation type="list" allowBlank="1" showInputMessage="1" showErrorMessage="1" sqref="C37:E37" xr:uid="{00000000-0002-0000-0100-00000A000000}">
      <formula1>Particulate_Capture</formula1>
    </dataValidation>
    <dataValidation type="list" allowBlank="1" showInputMessage="1" showErrorMessage="1" sqref="C39:E39" xr:uid="{00000000-0002-0000-0100-00000B000000}">
      <formula1>Scrubber_Type</formula1>
    </dataValidation>
    <dataValidation type="list" allowBlank="1" showInputMessage="1" showErrorMessage="1" sqref="C43:E43" xr:uid="{00000000-0002-0000-0100-00000C000000}">
      <formula1>NOX_Control</formula1>
    </dataValidation>
  </dataValidations>
  <pageMargins left="0.7" right="0.7" top="0.75" bottom="0.75" header="0.3" footer="0.3"/>
  <pageSetup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82"/>
  <sheetViews>
    <sheetView zoomScale="85" zoomScaleNormal="85" workbookViewId="0">
      <selection activeCell="X5" sqref="X5:Z5"/>
    </sheetView>
  </sheetViews>
  <sheetFormatPr defaultRowHeight="14.4" x14ac:dyDescent="0.3"/>
  <cols>
    <col min="1" max="1" width="6.6640625" style="23" customWidth="1"/>
    <col min="2" max="2" width="3.6640625" style="23" hidden="1" customWidth="1"/>
    <col min="3" max="11" width="0" style="23" hidden="1" customWidth="1"/>
    <col min="12" max="12" width="3.6640625" style="23" hidden="1" customWidth="1"/>
    <col min="13" max="13" width="3.6640625" style="29" hidden="1" customWidth="1"/>
    <col min="14" max="14" width="3.6640625" style="29" customWidth="1"/>
    <col min="15" max="15" width="3.6640625" style="23" customWidth="1"/>
    <col min="16" max="22" width="9.109375" style="23"/>
    <col min="23" max="23" width="10.5546875" style="23" bestFit="1" customWidth="1"/>
    <col min="24" max="24" width="9.5546875" style="23" bestFit="1" customWidth="1"/>
    <col min="25" max="26" width="9.109375" style="23"/>
    <col min="27" max="28" width="3.6640625" style="23" customWidth="1"/>
    <col min="29" max="30" width="3.6640625" style="29" customWidth="1"/>
    <col min="31" max="37" width="9.109375" style="29"/>
    <col min="38" max="38" width="10.5546875" style="29" bestFit="1" customWidth="1"/>
    <col min="39" max="39" width="9.5546875" style="29" bestFit="1" customWidth="1"/>
    <col min="40" max="41" width="9.109375" style="29"/>
    <col min="42" max="43" width="3.6640625" customWidth="1"/>
  </cols>
  <sheetData>
    <row r="1" spans="1:43" s="23" customFormat="1" ht="20.100000000000001" customHeight="1" x14ac:dyDescent="0.35">
      <c r="B1" s="213"/>
      <c r="C1" s="213"/>
      <c r="D1" s="213"/>
      <c r="E1" s="213"/>
      <c r="F1" s="213"/>
      <c r="G1" s="213" t="s">
        <v>770</v>
      </c>
      <c r="H1" s="213"/>
      <c r="I1" s="213"/>
      <c r="J1" s="213"/>
      <c r="K1" s="213"/>
      <c r="L1" s="213"/>
      <c r="M1" s="213"/>
      <c r="N1" s="711" t="s">
        <v>776</v>
      </c>
      <c r="O1" s="712"/>
      <c r="P1" s="712"/>
      <c r="Q1" s="712"/>
      <c r="R1" s="712"/>
      <c r="S1" s="712"/>
      <c r="T1" s="712"/>
      <c r="U1" s="712"/>
      <c r="V1" s="712"/>
      <c r="W1" s="712"/>
      <c r="X1" s="712"/>
      <c r="Y1" s="712"/>
      <c r="Z1" s="712"/>
      <c r="AA1" s="712"/>
      <c r="AB1" s="713"/>
      <c r="AC1" s="711" t="s">
        <v>776</v>
      </c>
      <c r="AD1" s="712"/>
      <c r="AE1" s="712"/>
      <c r="AF1" s="712"/>
      <c r="AG1" s="712"/>
      <c r="AH1" s="712"/>
      <c r="AI1" s="712"/>
      <c r="AJ1" s="712"/>
      <c r="AK1" s="712"/>
      <c r="AL1" s="712"/>
      <c r="AM1" s="712"/>
      <c r="AN1" s="712"/>
      <c r="AO1" s="712"/>
      <c r="AP1" s="712"/>
      <c r="AQ1" s="713"/>
    </row>
    <row r="2" spans="1:43" ht="15.6" x14ac:dyDescent="0.3">
      <c r="B2" s="34"/>
      <c r="C2" s="34"/>
      <c r="D2" s="34"/>
      <c r="E2" s="34"/>
      <c r="F2" s="34"/>
      <c r="G2" s="34"/>
      <c r="H2" s="34"/>
      <c r="I2" s="34"/>
      <c r="J2" s="34"/>
      <c r="K2" s="34"/>
      <c r="L2" s="34"/>
      <c r="M2" s="34"/>
      <c r="N2" s="34"/>
      <c r="AC2" s="8"/>
      <c r="AD2" s="8"/>
      <c r="AE2" s="8"/>
      <c r="AF2" s="8"/>
      <c r="AG2" s="8"/>
      <c r="AH2" s="8"/>
      <c r="AI2" s="8"/>
      <c r="AJ2" s="8"/>
      <c r="AK2" s="8"/>
      <c r="AL2" s="8"/>
      <c r="AM2" s="8"/>
      <c r="AN2" s="8"/>
    </row>
    <row r="3" spans="1:43" ht="15.6" x14ac:dyDescent="0.3">
      <c r="B3" s="33" t="s">
        <v>193</v>
      </c>
      <c r="C3" s="33"/>
      <c r="D3" s="32"/>
      <c r="E3" s="32"/>
      <c r="F3" s="32"/>
      <c r="G3" s="32"/>
      <c r="H3" s="32"/>
      <c r="I3" s="32"/>
      <c r="J3" s="32"/>
      <c r="K3" s="32"/>
      <c r="L3" s="32"/>
      <c r="M3" s="34"/>
      <c r="N3" s="34"/>
      <c r="O3" s="555" t="s">
        <v>193</v>
      </c>
      <c r="P3" s="556"/>
      <c r="Q3" s="556"/>
      <c r="R3" s="556"/>
      <c r="S3" s="556"/>
      <c r="T3" s="556"/>
      <c r="U3" s="556"/>
      <c r="V3" s="556"/>
      <c r="W3" s="556"/>
      <c r="X3" s="557"/>
      <c r="Y3" s="556"/>
      <c r="Z3" s="556"/>
      <c r="AA3" s="558"/>
      <c r="AC3" s="17"/>
      <c r="AD3" s="555" t="s">
        <v>193</v>
      </c>
      <c r="AE3" s="556"/>
      <c r="AF3" s="556"/>
      <c r="AG3" s="556"/>
      <c r="AH3" s="556"/>
      <c r="AI3" s="556"/>
      <c r="AJ3" s="556"/>
      <c r="AK3" s="556"/>
      <c r="AL3" s="556"/>
      <c r="AM3" s="557"/>
      <c r="AN3" s="556"/>
      <c r="AO3" s="556"/>
      <c r="AP3" s="558"/>
    </row>
    <row r="4" spans="1:43" ht="15.6" x14ac:dyDescent="0.3">
      <c r="B4" s="32"/>
      <c r="C4" s="32"/>
      <c r="D4" s="32"/>
      <c r="E4" s="32"/>
      <c r="F4" s="32"/>
      <c r="G4" s="32"/>
      <c r="H4" s="32"/>
      <c r="I4" s="32"/>
      <c r="J4" s="32"/>
      <c r="K4" s="32"/>
      <c r="L4" s="32"/>
      <c r="M4" s="34"/>
      <c r="N4" s="34"/>
      <c r="O4" s="559"/>
      <c r="P4" s="560"/>
      <c r="Q4" s="352"/>
      <c r="R4" s="352"/>
      <c r="S4" s="352"/>
      <c r="T4" s="352"/>
      <c r="U4" s="352"/>
      <c r="V4" s="352"/>
      <c r="W4" s="352"/>
      <c r="X4" s="352"/>
      <c r="Y4" s="352"/>
      <c r="Z4" s="352"/>
      <c r="AA4" s="561"/>
      <c r="AC4" s="17"/>
      <c r="AD4" s="559"/>
      <c r="AE4" s="560"/>
      <c r="AF4" s="352"/>
      <c r="AG4" s="352"/>
      <c r="AH4" s="352"/>
      <c r="AI4" s="352"/>
      <c r="AJ4" s="352"/>
      <c r="AK4" s="352"/>
      <c r="AL4" s="352"/>
      <c r="AM4" s="352"/>
      <c r="AN4" s="352"/>
      <c r="AO4" s="352"/>
      <c r="AP4" s="561"/>
    </row>
    <row r="5" spans="1:43" ht="15.6" x14ac:dyDescent="0.3">
      <c r="B5" s="32"/>
      <c r="C5" s="32"/>
      <c r="D5" s="32"/>
      <c r="E5" s="32"/>
      <c r="F5" s="32"/>
      <c r="G5" s="32"/>
      <c r="H5" s="32"/>
      <c r="I5" s="32"/>
      <c r="J5" s="32"/>
      <c r="K5" s="32"/>
      <c r="L5" s="32"/>
      <c r="M5" s="34"/>
      <c r="N5" s="34"/>
      <c r="O5" s="562"/>
      <c r="P5" s="352"/>
      <c r="Q5" s="412" t="s">
        <v>0</v>
      </c>
      <c r="R5" s="563"/>
      <c r="S5" s="352"/>
      <c r="T5" s="352"/>
      <c r="U5" s="352"/>
      <c r="V5" s="352"/>
      <c r="W5" s="350" t="s">
        <v>194</v>
      </c>
      <c r="X5" s="708"/>
      <c r="Y5" s="709"/>
      <c r="Z5" s="710"/>
      <c r="AA5" s="561"/>
      <c r="AC5" s="17"/>
      <c r="AD5" s="562"/>
      <c r="AE5" s="352"/>
      <c r="AF5" s="412" t="s">
        <v>0</v>
      </c>
      <c r="AG5" s="563"/>
      <c r="AH5" s="352"/>
      <c r="AI5" s="352"/>
      <c r="AJ5" s="352"/>
      <c r="AK5" s="352"/>
      <c r="AL5" s="350" t="s">
        <v>194</v>
      </c>
      <c r="AM5" s="708"/>
      <c r="AN5" s="709"/>
      <c r="AO5" s="710"/>
      <c r="AP5" s="561"/>
    </row>
    <row r="6" spans="1:43" ht="15.6" x14ac:dyDescent="0.3">
      <c r="B6" s="32"/>
      <c r="C6" s="32"/>
      <c r="D6" s="32"/>
      <c r="E6" s="32"/>
      <c r="F6" s="32"/>
      <c r="G6" s="32"/>
      <c r="H6" s="32"/>
      <c r="I6" s="32"/>
      <c r="J6" s="32"/>
      <c r="K6" s="32"/>
      <c r="L6" s="32"/>
      <c r="M6" s="34"/>
      <c r="N6" s="34"/>
      <c r="O6" s="562"/>
      <c r="P6" s="353" t="s">
        <v>1</v>
      </c>
      <c r="Q6" s="101" t="str">
        <f>IF(ISBLANK('Title Sheet'!C$8), "", 'Title Sheet'!C$8)</f>
        <v/>
      </c>
      <c r="R6" s="314"/>
      <c r="S6" s="352"/>
      <c r="T6" s="352"/>
      <c r="U6" s="352"/>
      <c r="V6" s="352"/>
      <c r="W6" s="352"/>
      <c r="X6" s="352"/>
      <c r="Y6" s="352"/>
      <c r="Z6" s="352"/>
      <c r="AA6" s="561"/>
      <c r="AC6" s="40"/>
      <c r="AD6" s="562"/>
      <c r="AE6" s="353" t="s">
        <v>1</v>
      </c>
      <c r="AF6" s="101" t="str">
        <f>IF(ISBLANK('Title Sheet'!R$8), "", 'Title Sheet'!R$8)</f>
        <v/>
      </c>
      <c r="AG6" s="314"/>
      <c r="AH6" s="352"/>
      <c r="AI6" s="352"/>
      <c r="AJ6" s="352"/>
      <c r="AK6" s="352"/>
      <c r="AL6" s="352"/>
      <c r="AM6" s="352"/>
      <c r="AN6" s="352"/>
      <c r="AO6" s="352"/>
      <c r="AP6" s="561"/>
    </row>
    <row r="7" spans="1:43" ht="15.6" x14ac:dyDescent="0.3">
      <c r="B7" s="32"/>
      <c r="C7" s="32"/>
      <c r="D7" s="32"/>
      <c r="E7" s="32"/>
      <c r="F7" s="32"/>
      <c r="G7" s="32"/>
      <c r="H7" s="32"/>
      <c r="I7" s="32"/>
      <c r="J7" s="32"/>
      <c r="K7" s="32"/>
      <c r="L7" s="32"/>
      <c r="M7" s="34"/>
      <c r="N7" s="34"/>
      <c r="O7" s="562"/>
      <c r="P7" s="353" t="s">
        <v>3</v>
      </c>
      <c r="Q7" s="102" t="str">
        <f>IF(ISBLANK('Title Sheet'!C$16), "", 'Title Sheet'!C$16)</f>
        <v/>
      </c>
      <c r="R7" s="314"/>
      <c r="S7" s="352"/>
      <c r="T7" s="352"/>
      <c r="U7" s="352"/>
      <c r="V7" s="352"/>
      <c r="W7" s="352"/>
      <c r="X7" s="352"/>
      <c r="Y7" s="352"/>
      <c r="Z7" s="352"/>
      <c r="AA7" s="561"/>
      <c r="AC7" s="40"/>
      <c r="AD7" s="562"/>
      <c r="AE7" s="353" t="s">
        <v>3</v>
      </c>
      <c r="AF7" s="102" t="str">
        <f>IF(ISBLANK('Title Sheet'!R$16), "", 'Title Sheet'!R$16)</f>
        <v/>
      </c>
      <c r="AG7" s="314"/>
      <c r="AH7" s="352"/>
      <c r="AI7" s="352"/>
      <c r="AJ7" s="352"/>
      <c r="AK7" s="352"/>
      <c r="AL7" s="352"/>
      <c r="AM7" s="352"/>
      <c r="AN7" s="352"/>
      <c r="AO7" s="352"/>
      <c r="AP7" s="561"/>
    </row>
    <row r="8" spans="1:43" ht="15.6" x14ac:dyDescent="0.3">
      <c r="B8" s="32"/>
      <c r="C8" s="32"/>
      <c r="D8" s="32"/>
      <c r="E8" s="32"/>
      <c r="F8" s="32"/>
      <c r="G8" s="32"/>
      <c r="H8" s="32"/>
      <c r="I8" s="32"/>
      <c r="J8" s="32"/>
      <c r="K8" s="32"/>
      <c r="L8" s="32"/>
      <c r="M8" s="34"/>
      <c r="N8" s="34"/>
      <c r="O8" s="562"/>
      <c r="P8" s="353" t="s">
        <v>6</v>
      </c>
      <c r="Q8" s="228" t="s">
        <v>73</v>
      </c>
      <c r="R8" s="352"/>
      <c r="S8" s="352"/>
      <c r="T8" s="352"/>
      <c r="U8" s="352"/>
      <c r="V8" s="352"/>
      <c r="W8" s="352"/>
      <c r="X8" s="352"/>
      <c r="Y8" s="352"/>
      <c r="Z8" s="352"/>
      <c r="AA8" s="561"/>
      <c r="AC8" s="40"/>
      <c r="AD8" s="562"/>
      <c r="AE8" s="353" t="s">
        <v>6</v>
      </c>
      <c r="AF8" s="228" t="s">
        <v>777</v>
      </c>
      <c r="AG8" s="352"/>
      <c r="AH8" s="352"/>
      <c r="AI8" s="352"/>
      <c r="AJ8" s="352"/>
      <c r="AK8" s="352"/>
      <c r="AL8" s="352"/>
      <c r="AM8" s="352"/>
      <c r="AN8" s="352"/>
      <c r="AO8" s="352"/>
      <c r="AP8" s="561"/>
    </row>
    <row r="9" spans="1:43" ht="15.6" x14ac:dyDescent="0.3">
      <c r="B9" s="32"/>
      <c r="C9" s="32"/>
      <c r="D9" s="32"/>
      <c r="E9" s="32"/>
      <c r="F9" s="32"/>
      <c r="G9" s="32"/>
      <c r="H9" s="32"/>
      <c r="I9" s="32"/>
      <c r="J9" s="32"/>
      <c r="K9" s="32"/>
      <c r="L9" s="32"/>
      <c r="M9" s="34"/>
      <c r="N9" s="34"/>
      <c r="O9" s="562"/>
      <c r="P9" s="352"/>
      <c r="Q9" s="352"/>
      <c r="R9" s="352"/>
      <c r="S9" s="352"/>
      <c r="T9" s="354" t="s">
        <v>195</v>
      </c>
      <c r="U9" s="354" t="s">
        <v>196</v>
      </c>
      <c r="V9" s="354" t="s">
        <v>74</v>
      </c>
      <c r="W9" s="354" t="s">
        <v>75</v>
      </c>
      <c r="X9" s="354" t="s">
        <v>76</v>
      </c>
      <c r="Y9" s="352"/>
      <c r="Z9" s="352"/>
      <c r="AA9" s="561"/>
      <c r="AC9" s="17"/>
      <c r="AD9" s="562"/>
      <c r="AE9" s="352"/>
      <c r="AF9" s="352"/>
      <c r="AG9" s="352"/>
      <c r="AH9" s="352"/>
      <c r="AI9" s="354" t="s">
        <v>195</v>
      </c>
      <c r="AJ9" s="354" t="s">
        <v>196</v>
      </c>
      <c r="AK9" s="354" t="s">
        <v>74</v>
      </c>
      <c r="AL9" s="354" t="s">
        <v>75</v>
      </c>
      <c r="AM9" s="354" t="s">
        <v>76</v>
      </c>
      <c r="AN9" s="352"/>
      <c r="AO9" s="352"/>
      <c r="AP9" s="561"/>
    </row>
    <row r="10" spans="1:43" ht="15.6" x14ac:dyDescent="0.3">
      <c r="B10" s="32"/>
      <c r="C10" s="32"/>
      <c r="D10" s="32"/>
      <c r="E10" s="32"/>
      <c r="F10" s="32"/>
      <c r="G10" s="32"/>
      <c r="H10" s="32"/>
      <c r="I10" s="32"/>
      <c r="J10" s="32"/>
      <c r="K10" s="32"/>
      <c r="L10" s="32"/>
      <c r="M10" s="34"/>
      <c r="N10" s="34"/>
      <c r="O10" s="562"/>
      <c r="P10" s="352"/>
      <c r="Q10" s="352"/>
      <c r="R10" s="352"/>
      <c r="S10" s="355" t="s">
        <v>197</v>
      </c>
      <c r="T10" s="229"/>
      <c r="U10" s="229"/>
      <c r="V10" s="229"/>
      <c r="W10" s="230"/>
      <c r="X10" s="231"/>
      <c r="Y10" s="356"/>
      <c r="Z10" s="352"/>
      <c r="AA10" s="561"/>
      <c r="AC10" s="17"/>
      <c r="AD10" s="562"/>
      <c r="AE10" s="352"/>
      <c r="AF10" s="352"/>
      <c r="AG10" s="352"/>
      <c r="AH10" s="355" t="s">
        <v>197</v>
      </c>
      <c r="AI10" s="229"/>
      <c r="AJ10" s="229"/>
      <c r="AK10" s="229"/>
      <c r="AL10" s="230"/>
      <c r="AM10" s="231"/>
      <c r="AN10" s="356"/>
      <c r="AO10" s="352"/>
      <c r="AP10" s="561"/>
    </row>
    <row r="11" spans="1:43" ht="15.6" x14ac:dyDescent="0.3">
      <c r="B11" s="32"/>
      <c r="C11" s="32"/>
      <c r="D11" s="32"/>
      <c r="E11" s="32"/>
      <c r="F11" s="32"/>
      <c r="G11" s="32"/>
      <c r="H11" s="32"/>
      <c r="I11" s="32"/>
      <c r="J11" s="32"/>
      <c r="K11" s="32"/>
      <c r="L11" s="32"/>
      <c r="M11" s="34"/>
      <c r="N11" s="34"/>
      <c r="O11" s="562"/>
      <c r="P11" s="357"/>
      <c r="Q11" s="352"/>
      <c r="R11" s="352"/>
      <c r="S11" s="355" t="s">
        <v>781</v>
      </c>
      <c r="T11" s="232"/>
      <c r="U11" s="232"/>
      <c r="V11" s="232"/>
      <c r="W11" s="358"/>
      <c r="X11" s="359"/>
      <c r="Y11" s="356"/>
      <c r="Z11" s="352"/>
      <c r="AA11" s="561"/>
      <c r="AC11" s="41"/>
      <c r="AD11" s="562"/>
      <c r="AE11" s="357"/>
      <c r="AF11" s="352"/>
      <c r="AG11" s="352"/>
      <c r="AH11" s="355" t="s">
        <v>198</v>
      </c>
      <c r="AI11" s="232"/>
      <c r="AJ11" s="232"/>
      <c r="AK11" s="232"/>
      <c r="AL11" s="358"/>
      <c r="AM11" s="359"/>
      <c r="AN11" s="356"/>
      <c r="AO11" s="352"/>
      <c r="AP11" s="561"/>
    </row>
    <row r="12" spans="1:43" ht="15.6" x14ac:dyDescent="0.3">
      <c r="B12" s="32"/>
      <c r="C12" s="32"/>
      <c r="D12" s="32"/>
      <c r="E12" s="32"/>
      <c r="F12" s="32"/>
      <c r="G12" s="32"/>
      <c r="H12" s="32"/>
      <c r="I12" s="32"/>
      <c r="J12" s="32"/>
      <c r="K12" s="32"/>
      <c r="L12" s="32"/>
      <c r="M12" s="34"/>
      <c r="N12" s="34"/>
      <c r="O12" s="562"/>
      <c r="P12" s="357"/>
      <c r="Q12" s="352"/>
      <c r="R12" s="352"/>
      <c r="S12" s="355" t="s">
        <v>782</v>
      </c>
      <c r="T12" s="235"/>
      <c r="U12" s="235"/>
      <c r="V12" s="235"/>
      <c r="W12" s="236"/>
      <c r="X12" s="237"/>
      <c r="Y12" s="356"/>
      <c r="Z12" s="352"/>
      <c r="AA12" s="561"/>
      <c r="AC12" s="41"/>
      <c r="AD12" s="562"/>
      <c r="AE12" s="357"/>
      <c r="AF12" s="352"/>
      <c r="AG12" s="352"/>
      <c r="AH12" s="355" t="s">
        <v>199</v>
      </c>
      <c r="AI12" s="235"/>
      <c r="AJ12" s="235"/>
      <c r="AK12" s="235"/>
      <c r="AL12" s="236"/>
      <c r="AM12" s="237"/>
      <c r="AN12" s="356"/>
      <c r="AO12" s="352"/>
      <c r="AP12" s="561"/>
    </row>
    <row r="13" spans="1:43" ht="15.6" x14ac:dyDescent="0.3">
      <c r="B13" s="32"/>
      <c r="C13" s="32"/>
      <c r="D13" s="32"/>
      <c r="E13" s="32"/>
      <c r="F13" s="32"/>
      <c r="G13" s="32"/>
      <c r="H13" s="32"/>
      <c r="I13" s="32"/>
      <c r="J13" s="32"/>
      <c r="K13" s="32"/>
      <c r="L13" s="32"/>
      <c r="M13" s="34"/>
      <c r="N13" s="34"/>
      <c r="O13" s="562"/>
      <c r="P13" s="357"/>
      <c r="Q13" s="352"/>
      <c r="R13" s="352"/>
      <c r="S13" s="355" t="s">
        <v>783</v>
      </c>
      <c r="T13" s="238"/>
      <c r="U13" s="238"/>
      <c r="V13" s="238"/>
      <c r="W13" s="239"/>
      <c r="X13" s="240"/>
      <c r="Y13" s="356"/>
      <c r="Z13" s="352"/>
      <c r="AA13" s="561"/>
      <c r="AC13" s="41"/>
      <c r="AD13" s="562"/>
      <c r="AE13" s="357"/>
      <c r="AF13" s="352"/>
      <c r="AG13" s="352"/>
      <c r="AH13" s="355" t="s">
        <v>200</v>
      </c>
      <c r="AI13" s="238"/>
      <c r="AJ13" s="238"/>
      <c r="AK13" s="238"/>
      <c r="AL13" s="239"/>
      <c r="AM13" s="240"/>
      <c r="AN13" s="356"/>
      <c r="AO13" s="352"/>
      <c r="AP13" s="561"/>
    </row>
    <row r="14" spans="1:43" ht="15.6" x14ac:dyDescent="0.3">
      <c r="B14" s="32"/>
      <c r="C14" s="32"/>
      <c r="D14" s="32"/>
      <c r="E14" s="32"/>
      <c r="F14" s="32"/>
      <c r="G14" s="32"/>
      <c r="H14" s="32"/>
      <c r="I14" s="32"/>
      <c r="J14" s="32"/>
      <c r="K14" s="32"/>
      <c r="L14" s="32"/>
      <c r="M14" s="34"/>
      <c r="N14" s="34"/>
      <c r="O14" s="562"/>
      <c r="P14" s="357"/>
      <c r="Q14" s="352"/>
      <c r="R14" s="352"/>
      <c r="S14" s="352"/>
      <c r="T14" s="356"/>
      <c r="U14" s="356"/>
      <c r="V14" s="356"/>
      <c r="W14" s="356"/>
      <c r="X14" s="356"/>
      <c r="Y14" s="356"/>
      <c r="Z14" s="352"/>
      <c r="AA14" s="561"/>
      <c r="AC14" s="41"/>
      <c r="AD14" s="562"/>
      <c r="AE14" s="357"/>
      <c r="AF14" s="352"/>
      <c r="AG14" s="352"/>
      <c r="AH14" s="352"/>
      <c r="AI14" s="356"/>
      <c r="AJ14" s="356"/>
      <c r="AK14" s="356"/>
      <c r="AL14" s="356"/>
      <c r="AM14" s="356"/>
      <c r="AN14" s="356"/>
      <c r="AO14" s="352"/>
      <c r="AP14" s="561"/>
    </row>
    <row r="15" spans="1:43" ht="15.6" x14ac:dyDescent="0.3">
      <c r="B15" s="32"/>
      <c r="C15" s="32"/>
      <c r="D15" s="32"/>
      <c r="E15" s="32"/>
      <c r="F15" s="32"/>
      <c r="G15" s="32"/>
      <c r="H15" s="32"/>
      <c r="I15" s="32"/>
      <c r="J15" s="32"/>
      <c r="K15" s="32"/>
      <c r="L15" s="32"/>
      <c r="M15" s="34"/>
      <c r="N15" s="34"/>
      <c r="O15" s="562"/>
      <c r="P15" s="357"/>
      <c r="Q15" s="352"/>
      <c r="R15" s="352"/>
      <c r="S15" s="355" t="s">
        <v>201</v>
      </c>
      <c r="T15" s="38" t="str">
        <f>IF(ISNUMBER(T12), (T11-MIN(T12:T13))/(T11-T10), "")</f>
        <v/>
      </c>
      <c r="U15" s="38" t="str">
        <f>IF(ISNUMBER(U12), (U11-MIN(U12:U13))/(U11-U10), "")</f>
        <v/>
      </c>
      <c r="V15" s="38" t="str">
        <f>IF(ISNUMBER(V12), (V11-MIN(V12:V13))/(V11-V10), "")</f>
        <v/>
      </c>
      <c r="W15" s="356"/>
      <c r="X15" s="360" t="s">
        <v>77</v>
      </c>
      <c r="Y15" s="36" t="str">
        <f>IF(SUM(T15:V15)&gt;0, AVERAGE(T15:V15), "")</f>
        <v/>
      </c>
      <c r="Z15" s="361" t="s">
        <v>202</v>
      </c>
      <c r="AA15" s="561"/>
      <c r="AC15" s="41"/>
      <c r="AD15" s="562"/>
      <c r="AE15" s="357"/>
      <c r="AF15" s="352"/>
      <c r="AG15" s="352"/>
      <c r="AH15" s="355" t="s">
        <v>201</v>
      </c>
      <c r="AI15" s="38" t="str">
        <f>IF(ISNUMBER(AI12), (AI11-MIN(AI12:AI13))/(AI11-AI10), "")</f>
        <v/>
      </c>
      <c r="AJ15" s="38" t="str">
        <f>IF(ISNUMBER(AJ12), (AJ11-MIN(AJ12:AJ13))/(AJ11-AJ10), "")</f>
        <v/>
      </c>
      <c r="AK15" s="38" t="str">
        <f>IF(ISNUMBER(AK12), (AK11-MIN(AK12:AK13))/(AK11-AK10), "")</f>
        <v/>
      </c>
      <c r="AL15" s="356"/>
      <c r="AM15" s="360" t="s">
        <v>77</v>
      </c>
      <c r="AN15" s="36" t="str">
        <f>IF(SUM(AI15:AK15)&gt;0, AVERAGE(AI15:AK15), "")</f>
        <v/>
      </c>
      <c r="AO15" s="361" t="s">
        <v>202</v>
      </c>
      <c r="AP15" s="561"/>
    </row>
    <row r="16" spans="1:43" ht="15.6" x14ac:dyDescent="0.3">
      <c r="A16" s="29"/>
      <c r="B16" s="32"/>
      <c r="C16" s="32"/>
      <c r="D16" s="32"/>
      <c r="E16" s="32"/>
      <c r="F16" s="32"/>
      <c r="G16" s="32"/>
      <c r="H16" s="32"/>
      <c r="I16" s="32"/>
      <c r="J16" s="32"/>
      <c r="K16" s="32"/>
      <c r="L16" s="32"/>
      <c r="M16" s="34"/>
      <c r="N16" s="34"/>
      <c r="O16" s="562"/>
      <c r="P16" s="352"/>
      <c r="Q16" s="352"/>
      <c r="R16" s="352"/>
      <c r="S16" s="355" t="s">
        <v>203</v>
      </c>
      <c r="T16" s="39" t="str">
        <f>IF(ISNUMBER(T15), 1-T15, "")</f>
        <v/>
      </c>
      <c r="U16" s="39" t="str">
        <f>IF(ISNUMBER(U15), 1-U15, "")</f>
        <v/>
      </c>
      <c r="V16" s="39" t="str">
        <f>IF(ISNUMBER(V15), 1-V15, "")</f>
        <v/>
      </c>
      <c r="W16" s="356"/>
      <c r="X16" s="360" t="s">
        <v>78</v>
      </c>
      <c r="Y16" s="37" t="str">
        <f>IF(SUM(T16:V16)&gt;0, AVERAGE(T16:V16), "")</f>
        <v/>
      </c>
      <c r="Z16" s="362" t="s">
        <v>204</v>
      </c>
      <c r="AA16" s="561"/>
      <c r="AC16" s="17"/>
      <c r="AD16" s="562"/>
      <c r="AE16" s="352"/>
      <c r="AF16" s="352"/>
      <c r="AG16" s="352"/>
      <c r="AH16" s="355" t="s">
        <v>203</v>
      </c>
      <c r="AI16" s="39" t="str">
        <f>IF(ISNUMBER(AI15), 1-AI15, "")</f>
        <v/>
      </c>
      <c r="AJ16" s="39" t="str">
        <f>IF(ISNUMBER(AJ15), 1-AJ15, "")</f>
        <v/>
      </c>
      <c r="AK16" s="39" t="str">
        <f>IF(ISNUMBER(AK15), 1-AK15, "")</f>
        <v/>
      </c>
      <c r="AL16" s="356"/>
      <c r="AM16" s="360" t="s">
        <v>78</v>
      </c>
      <c r="AN16" s="37" t="str">
        <f>IF(SUM(AI16:AK16)&gt;0, AVERAGE(AI16:AK16), "")</f>
        <v/>
      </c>
      <c r="AO16" s="362" t="s">
        <v>204</v>
      </c>
      <c r="AP16" s="561"/>
    </row>
    <row r="17" spans="2:43" ht="15.6" x14ac:dyDescent="0.3">
      <c r="B17" s="32"/>
      <c r="C17" s="32"/>
      <c r="D17" s="32"/>
      <c r="E17" s="32"/>
      <c r="F17" s="32"/>
      <c r="G17" s="32"/>
      <c r="H17" s="32"/>
      <c r="I17" s="32"/>
      <c r="J17" s="32"/>
      <c r="K17" s="32"/>
      <c r="L17" s="32"/>
      <c r="M17" s="34"/>
      <c r="N17" s="34"/>
      <c r="O17" s="564"/>
      <c r="P17" s="565"/>
      <c r="Q17" s="565"/>
      <c r="R17" s="565"/>
      <c r="S17" s="565"/>
      <c r="T17" s="565"/>
      <c r="U17" s="565"/>
      <c r="V17" s="565"/>
      <c r="W17" s="565"/>
      <c r="X17" s="565"/>
      <c r="Y17" s="565"/>
      <c r="Z17" s="565"/>
      <c r="AA17" s="566"/>
      <c r="AB17" s="29"/>
      <c r="AC17" s="17"/>
      <c r="AD17" s="564"/>
      <c r="AE17" s="565"/>
      <c r="AF17" s="565"/>
      <c r="AG17" s="565"/>
      <c r="AH17" s="565"/>
      <c r="AI17" s="565"/>
      <c r="AJ17" s="565"/>
      <c r="AK17" s="565"/>
      <c r="AL17" s="565"/>
      <c r="AM17" s="565"/>
      <c r="AN17" s="565"/>
      <c r="AO17" s="565"/>
      <c r="AP17" s="566"/>
      <c r="AQ17" s="22"/>
    </row>
    <row r="18" spans="2:43" ht="15.6" x14ac:dyDescent="0.3">
      <c r="B18" s="32"/>
      <c r="C18" s="32"/>
      <c r="D18" s="32"/>
      <c r="E18" s="32"/>
      <c r="F18" s="32"/>
      <c r="G18" s="32"/>
      <c r="H18" s="32"/>
      <c r="I18" s="32"/>
      <c r="J18" s="32"/>
      <c r="K18" s="32"/>
      <c r="L18" s="32"/>
      <c r="M18" s="34"/>
      <c r="N18" s="34"/>
      <c r="O18" s="28"/>
      <c r="P18" s="28"/>
      <c r="Q18" s="28"/>
      <c r="R18" s="28"/>
      <c r="S18" s="28"/>
      <c r="T18" s="28"/>
      <c r="U18" s="28"/>
      <c r="V18" s="28"/>
      <c r="W18" s="28"/>
      <c r="X18" s="28"/>
      <c r="Y18" s="28"/>
      <c r="Z18" s="28"/>
      <c r="AA18" s="28"/>
      <c r="AB18" s="29"/>
      <c r="AC18" s="17"/>
      <c r="AD18" s="17"/>
      <c r="AE18" s="17"/>
      <c r="AF18" s="17"/>
      <c r="AG18" s="17"/>
      <c r="AH18" s="17"/>
      <c r="AI18" s="17"/>
      <c r="AJ18" s="17"/>
      <c r="AK18" s="17"/>
      <c r="AL18" s="17"/>
      <c r="AM18" s="17"/>
      <c r="AN18" s="17"/>
      <c r="AP18" s="22"/>
      <c r="AQ18" s="22"/>
    </row>
    <row r="19" spans="2:43" ht="15.6" x14ac:dyDescent="0.3">
      <c r="B19" s="32"/>
      <c r="C19" s="32"/>
      <c r="D19" s="32"/>
      <c r="E19" s="32"/>
      <c r="F19" s="32"/>
      <c r="G19" s="32"/>
      <c r="H19" s="32"/>
      <c r="I19" s="32"/>
      <c r="J19" s="32"/>
      <c r="K19" s="32"/>
      <c r="L19" s="32"/>
      <c r="M19" s="34"/>
      <c r="N19" s="34"/>
      <c r="O19" s="567" t="s">
        <v>193</v>
      </c>
      <c r="P19" s="568"/>
      <c r="Q19" s="568"/>
      <c r="R19" s="568"/>
      <c r="S19" s="568"/>
      <c r="T19" s="568"/>
      <c r="U19" s="568"/>
      <c r="V19" s="568"/>
      <c r="W19" s="568"/>
      <c r="X19" s="569"/>
      <c r="Y19" s="568"/>
      <c r="Z19" s="568"/>
      <c r="AA19" s="570"/>
      <c r="AB19" s="28"/>
      <c r="AC19" s="21"/>
      <c r="AD19" s="21"/>
      <c r="AE19"/>
      <c r="AF19"/>
      <c r="AG19"/>
      <c r="AH19"/>
      <c r="AI19"/>
      <c r="AJ19"/>
      <c r="AK19"/>
      <c r="AL19"/>
      <c r="AM19"/>
      <c r="AN19"/>
      <c r="AO19"/>
    </row>
    <row r="20" spans="2:43" ht="15.6" x14ac:dyDescent="0.3">
      <c r="B20" s="32"/>
      <c r="C20" s="32"/>
      <c r="D20" s="32"/>
      <c r="E20" s="32"/>
      <c r="F20" s="32"/>
      <c r="G20" s="32"/>
      <c r="H20" s="32"/>
      <c r="I20" s="32"/>
      <c r="J20" s="32"/>
      <c r="K20" s="32"/>
      <c r="L20" s="32"/>
      <c r="M20" s="34"/>
      <c r="N20" s="34"/>
      <c r="O20" s="571"/>
      <c r="P20" s="25"/>
      <c r="Q20" s="25"/>
      <c r="R20" s="25"/>
      <c r="S20" s="25"/>
      <c r="T20" s="25"/>
      <c r="U20" s="25"/>
      <c r="V20" s="25"/>
      <c r="W20" s="25"/>
      <c r="X20" s="25"/>
      <c r="Y20" s="25"/>
      <c r="Z20" s="25"/>
      <c r="AA20" s="572"/>
      <c r="AB20" s="29"/>
      <c r="AC20" s="20"/>
      <c r="AD20" s="20"/>
      <c r="AE20"/>
      <c r="AF20"/>
      <c r="AG20"/>
      <c r="AH20"/>
      <c r="AI20"/>
      <c r="AJ20"/>
      <c r="AK20"/>
      <c r="AL20"/>
      <c r="AM20"/>
      <c r="AN20"/>
      <c r="AO20"/>
    </row>
    <row r="21" spans="2:43" ht="15.6" x14ac:dyDescent="0.3">
      <c r="B21" s="32"/>
      <c r="C21" s="32"/>
      <c r="D21" s="32"/>
      <c r="E21" s="32"/>
      <c r="F21" s="32"/>
      <c r="G21" s="32"/>
      <c r="H21" s="32"/>
      <c r="I21" s="32"/>
      <c r="J21" s="32"/>
      <c r="K21" s="32"/>
      <c r="L21" s="32"/>
      <c r="M21" s="34"/>
      <c r="N21" s="34"/>
      <c r="O21" s="573"/>
      <c r="P21" s="25"/>
      <c r="Q21" s="574" t="s">
        <v>0</v>
      </c>
      <c r="R21" s="575"/>
      <c r="S21" s="25"/>
      <c r="T21" s="25"/>
      <c r="U21" s="25"/>
      <c r="V21" s="25"/>
      <c r="W21" s="78" t="s">
        <v>194</v>
      </c>
      <c r="X21" s="708"/>
      <c r="Y21" s="709"/>
      <c r="Z21" s="710"/>
      <c r="AA21" s="572"/>
      <c r="AB21" s="29"/>
      <c r="AC21" s="20"/>
      <c r="AD21" s="20"/>
      <c r="AE21"/>
      <c r="AF21"/>
      <c r="AG21"/>
      <c r="AH21"/>
      <c r="AI21"/>
      <c r="AJ21"/>
      <c r="AK21"/>
      <c r="AL21"/>
      <c r="AM21"/>
      <c r="AN21"/>
      <c r="AO21"/>
    </row>
    <row r="22" spans="2:43" ht="15.6" x14ac:dyDescent="0.3">
      <c r="B22" s="32"/>
      <c r="C22" s="32"/>
      <c r="D22" s="32"/>
      <c r="E22" s="32"/>
      <c r="F22" s="32"/>
      <c r="G22" s="32"/>
      <c r="H22" s="32"/>
      <c r="I22" s="32"/>
      <c r="J22" s="32"/>
      <c r="K22" s="32"/>
      <c r="L22" s="32"/>
      <c r="M22" s="34"/>
      <c r="N22" s="34"/>
      <c r="O22" s="573"/>
      <c r="P22" s="79" t="s">
        <v>1</v>
      </c>
      <c r="Q22" s="101" t="str">
        <f>IF(ISBLANK('Title Sheet'!C$8), "", 'Title Sheet'!C$8)</f>
        <v/>
      </c>
      <c r="R22" s="148"/>
      <c r="S22" s="25"/>
      <c r="T22" s="25"/>
      <c r="U22" s="25"/>
      <c r="V22" s="25"/>
      <c r="W22" s="25"/>
      <c r="X22" s="25"/>
      <c r="Y22" s="25"/>
      <c r="Z22" s="25"/>
      <c r="AA22" s="572"/>
      <c r="AB22" s="29"/>
      <c r="AC22" s="20"/>
      <c r="AD22" s="20"/>
      <c r="AE22"/>
      <c r="AF22"/>
      <c r="AG22"/>
      <c r="AH22"/>
      <c r="AI22"/>
      <c r="AJ22"/>
      <c r="AK22"/>
      <c r="AL22"/>
      <c r="AM22"/>
      <c r="AN22"/>
      <c r="AO22"/>
    </row>
    <row r="23" spans="2:43" x14ac:dyDescent="0.3">
      <c r="B23" s="30"/>
      <c r="C23" s="30"/>
      <c r="D23" s="30"/>
      <c r="E23" s="30"/>
      <c r="F23" s="30"/>
      <c r="G23" s="30"/>
      <c r="H23" s="30"/>
      <c r="I23" s="30"/>
      <c r="J23" s="30"/>
      <c r="K23" s="30"/>
      <c r="L23" s="30"/>
      <c r="O23" s="573"/>
      <c r="P23" s="79" t="s">
        <v>3</v>
      </c>
      <c r="Q23" s="102" t="str">
        <f>IF(ISBLANK('Title Sheet'!C$16), "", 'Title Sheet'!C$16)</f>
        <v/>
      </c>
      <c r="R23" s="148"/>
      <c r="S23" s="25"/>
      <c r="T23" s="25"/>
      <c r="U23" s="25"/>
      <c r="V23" s="25"/>
      <c r="W23" s="25"/>
      <c r="X23" s="25"/>
      <c r="Y23" s="25"/>
      <c r="Z23" s="25"/>
      <c r="AA23" s="572"/>
      <c r="AB23" s="29"/>
      <c r="AC23" s="20"/>
      <c r="AD23" s="20"/>
      <c r="AE23"/>
      <c r="AF23"/>
      <c r="AG23"/>
      <c r="AH23"/>
      <c r="AI23"/>
      <c r="AJ23"/>
      <c r="AK23"/>
      <c r="AL23"/>
      <c r="AM23"/>
      <c r="AN23"/>
      <c r="AO23"/>
    </row>
    <row r="24" spans="2:43" x14ac:dyDescent="0.3">
      <c r="B24" s="29"/>
      <c r="C24" s="29"/>
      <c r="D24" s="29"/>
      <c r="E24" s="29"/>
      <c r="F24" s="29"/>
      <c r="G24" s="29"/>
      <c r="H24" s="29"/>
      <c r="I24" s="29"/>
      <c r="J24" s="29"/>
      <c r="K24" s="29"/>
      <c r="L24" s="29"/>
      <c r="O24" s="573"/>
      <c r="P24" s="79" t="s">
        <v>6</v>
      </c>
      <c r="Q24" s="228" t="s">
        <v>162</v>
      </c>
      <c r="R24" s="25"/>
      <c r="S24" s="25"/>
      <c r="T24" s="25"/>
      <c r="U24" s="25"/>
      <c r="V24" s="25"/>
      <c r="W24" s="25"/>
      <c r="X24" s="25"/>
      <c r="Y24" s="25"/>
      <c r="Z24" s="25"/>
      <c r="AA24" s="572"/>
      <c r="AB24" s="29"/>
      <c r="AC24" s="20"/>
      <c r="AD24" s="20"/>
      <c r="AE24"/>
      <c r="AF24"/>
      <c r="AG24"/>
      <c r="AH24"/>
      <c r="AI24"/>
      <c r="AJ24"/>
      <c r="AK24"/>
      <c r="AL24"/>
      <c r="AM24"/>
      <c r="AN24"/>
      <c r="AO24"/>
    </row>
    <row r="25" spans="2:43" x14ac:dyDescent="0.3">
      <c r="O25" s="573"/>
      <c r="P25" s="25"/>
      <c r="Q25" s="25"/>
      <c r="R25" s="25"/>
      <c r="S25" s="25"/>
      <c r="T25" s="80" t="s">
        <v>195</v>
      </c>
      <c r="U25" s="80" t="s">
        <v>196</v>
      </c>
      <c r="V25" s="80" t="s">
        <v>74</v>
      </c>
      <c r="W25" s="80" t="s">
        <v>75</v>
      </c>
      <c r="X25" s="80" t="s">
        <v>76</v>
      </c>
      <c r="Y25" s="25"/>
      <c r="Z25" s="25"/>
      <c r="AA25" s="572"/>
      <c r="AB25" s="29"/>
      <c r="AC25"/>
      <c r="AD25"/>
      <c r="AE25"/>
      <c r="AF25"/>
      <c r="AG25"/>
      <c r="AH25"/>
      <c r="AI25"/>
      <c r="AJ25"/>
      <c r="AK25"/>
      <c r="AL25"/>
      <c r="AM25"/>
      <c r="AN25"/>
      <c r="AO25"/>
    </row>
    <row r="26" spans="2:43" x14ac:dyDescent="0.3">
      <c r="O26" s="573"/>
      <c r="P26" s="25"/>
      <c r="Q26" s="25"/>
      <c r="R26" s="25"/>
      <c r="S26" s="24" t="s">
        <v>197</v>
      </c>
      <c r="T26" s="616"/>
      <c r="U26" s="616"/>
      <c r="V26" s="616"/>
      <c r="W26" s="617"/>
      <c r="X26" s="618"/>
      <c r="Y26" s="31"/>
      <c r="Z26" s="25"/>
      <c r="AA26" s="572"/>
      <c r="AB26" s="29"/>
      <c r="AC26"/>
      <c r="AD26"/>
      <c r="AE26"/>
      <c r="AF26"/>
      <c r="AG26"/>
      <c r="AH26"/>
      <c r="AI26"/>
      <c r="AJ26"/>
      <c r="AK26"/>
      <c r="AL26"/>
      <c r="AM26"/>
      <c r="AN26"/>
      <c r="AO26"/>
    </row>
    <row r="27" spans="2:43" x14ac:dyDescent="0.3">
      <c r="O27" s="573"/>
      <c r="P27" s="35"/>
      <c r="Q27" s="25"/>
      <c r="R27" s="25"/>
      <c r="S27" s="24" t="s">
        <v>198</v>
      </c>
      <c r="T27" s="619"/>
      <c r="U27" s="619"/>
      <c r="V27" s="619"/>
      <c r="W27" s="620"/>
      <c r="X27" s="621"/>
      <c r="Y27" s="31"/>
      <c r="Z27" s="25"/>
      <c r="AA27" s="572"/>
      <c r="AB27" s="29"/>
      <c r="AC27"/>
      <c r="AD27"/>
      <c r="AE27"/>
      <c r="AF27"/>
      <c r="AG27"/>
      <c r="AH27"/>
      <c r="AI27"/>
      <c r="AJ27"/>
      <c r="AK27"/>
      <c r="AL27"/>
      <c r="AM27"/>
      <c r="AN27"/>
      <c r="AO27"/>
    </row>
    <row r="28" spans="2:43" x14ac:dyDescent="0.3">
      <c r="O28" s="573"/>
      <c r="P28" s="35"/>
      <c r="Q28" s="25"/>
      <c r="R28" s="25"/>
      <c r="S28" s="24" t="s">
        <v>199</v>
      </c>
      <c r="T28" s="622"/>
      <c r="U28" s="622"/>
      <c r="V28" s="622"/>
      <c r="W28" s="623"/>
      <c r="X28" s="624"/>
      <c r="Y28" s="31"/>
      <c r="Z28" s="25"/>
      <c r="AA28" s="572"/>
      <c r="AB28" s="29"/>
      <c r="AC28"/>
      <c r="AD28"/>
      <c r="AE28"/>
      <c r="AF28"/>
      <c r="AG28"/>
      <c r="AH28"/>
      <c r="AI28"/>
      <c r="AJ28"/>
      <c r="AK28"/>
      <c r="AL28"/>
      <c r="AM28"/>
      <c r="AN28"/>
      <c r="AO28"/>
    </row>
    <row r="29" spans="2:43" x14ac:dyDescent="0.3">
      <c r="O29" s="573"/>
      <c r="P29" s="35"/>
      <c r="Q29" s="25"/>
      <c r="R29" s="25"/>
      <c r="S29" s="24" t="s">
        <v>200</v>
      </c>
      <c r="T29" s="625"/>
      <c r="U29" s="625"/>
      <c r="V29" s="625"/>
      <c r="W29" s="626"/>
      <c r="X29" s="627"/>
      <c r="Y29" s="31"/>
      <c r="Z29" s="25"/>
      <c r="AA29" s="572"/>
      <c r="AB29" s="29"/>
      <c r="AC29"/>
      <c r="AD29"/>
      <c r="AE29"/>
      <c r="AF29"/>
      <c r="AG29"/>
      <c r="AH29"/>
      <c r="AI29"/>
      <c r="AJ29"/>
      <c r="AK29"/>
      <c r="AL29"/>
      <c r="AM29"/>
      <c r="AN29"/>
      <c r="AO29"/>
    </row>
    <row r="30" spans="2:43" x14ac:dyDescent="0.3">
      <c r="O30" s="573"/>
      <c r="P30" s="35"/>
      <c r="Q30" s="25"/>
      <c r="R30" s="25"/>
      <c r="S30" s="25"/>
      <c r="T30" s="31"/>
      <c r="U30" s="31"/>
      <c r="V30" s="31"/>
      <c r="W30" s="31"/>
      <c r="X30" s="31"/>
      <c r="Y30" s="31"/>
      <c r="Z30" s="25"/>
      <c r="AA30" s="572"/>
      <c r="AB30" s="29"/>
      <c r="AC30"/>
      <c r="AD30"/>
      <c r="AE30"/>
      <c r="AF30"/>
      <c r="AG30"/>
      <c r="AH30"/>
      <c r="AI30"/>
      <c r="AJ30"/>
      <c r="AK30"/>
      <c r="AL30"/>
      <c r="AM30"/>
      <c r="AN30"/>
      <c r="AO30"/>
    </row>
    <row r="31" spans="2:43" x14ac:dyDescent="0.3">
      <c r="O31" s="573"/>
      <c r="P31" s="35"/>
      <c r="Q31" s="25"/>
      <c r="R31" s="25"/>
      <c r="S31" s="24" t="s">
        <v>450</v>
      </c>
      <c r="T31" s="38" t="str">
        <f>IF(ISNUMBER(T28), (T27-MIN(T28:T29))/(T27-T26), "")</f>
        <v/>
      </c>
      <c r="U31" s="38" t="str">
        <f>IF(ISNUMBER(U28), (U27-MIN(U28:U29))/(U27-U26), "")</f>
        <v/>
      </c>
      <c r="V31" s="38" t="str">
        <f>IF(ISNUMBER(V28), (V27-MIN(V28:V29))/(V27-V26), "")</f>
        <v/>
      </c>
      <c r="W31" s="31"/>
      <c r="X31" s="26" t="s">
        <v>77</v>
      </c>
      <c r="Y31" s="36" t="str">
        <f>IF(SUM(T31:V31)&gt;0, AVERAGE(T31:V31), "")</f>
        <v/>
      </c>
      <c r="Z31" s="81" t="s">
        <v>202</v>
      </c>
      <c r="AA31" s="572"/>
      <c r="AB31" s="29"/>
      <c r="AC31"/>
      <c r="AD31"/>
      <c r="AE31"/>
      <c r="AF31"/>
      <c r="AG31"/>
      <c r="AH31"/>
      <c r="AI31"/>
      <c r="AJ31"/>
      <c r="AK31"/>
      <c r="AL31"/>
      <c r="AM31"/>
      <c r="AN31"/>
      <c r="AO31"/>
    </row>
    <row r="32" spans="2:43" x14ac:dyDescent="0.3">
      <c r="O32" s="573"/>
      <c r="P32" s="25"/>
      <c r="Q32" s="25"/>
      <c r="R32" s="25"/>
      <c r="S32" s="24" t="s">
        <v>451</v>
      </c>
      <c r="T32" s="39" t="str">
        <f>IF(ISNUMBER(T31), 1-T31, "")</f>
        <v/>
      </c>
      <c r="U32" s="39" t="str">
        <f>IF(ISNUMBER(U31), 1-U31, "")</f>
        <v/>
      </c>
      <c r="V32" s="39" t="str">
        <f>IF(ISNUMBER(V31), 1-V31, "")</f>
        <v/>
      </c>
      <c r="W32" s="31"/>
      <c r="X32" s="26" t="s">
        <v>78</v>
      </c>
      <c r="Y32" s="37" t="str">
        <f>IF(SUM(T32:V32)&gt;0, AVERAGE(T32:V32), "")</f>
        <v/>
      </c>
      <c r="Z32" s="27" t="s">
        <v>204</v>
      </c>
      <c r="AA32" s="572"/>
      <c r="AB32" s="29"/>
      <c r="AC32"/>
      <c r="AD32"/>
      <c r="AE32"/>
      <c r="AF32"/>
      <c r="AG32"/>
      <c r="AH32"/>
      <c r="AI32"/>
      <c r="AJ32"/>
      <c r="AK32"/>
      <c r="AL32"/>
      <c r="AM32"/>
      <c r="AN32"/>
      <c r="AO32"/>
    </row>
    <row r="33" spans="1:41" x14ac:dyDescent="0.3">
      <c r="O33" s="576"/>
      <c r="P33" s="577"/>
      <c r="Q33" s="577"/>
      <c r="R33" s="577"/>
      <c r="S33" s="577"/>
      <c r="T33" s="577"/>
      <c r="U33" s="577"/>
      <c r="V33" s="577"/>
      <c r="W33" s="577"/>
      <c r="X33" s="577"/>
      <c r="Y33" s="577"/>
      <c r="Z33" s="577"/>
      <c r="AA33" s="578"/>
      <c r="AB33" s="29"/>
      <c r="AC33"/>
      <c r="AD33"/>
      <c r="AE33"/>
      <c r="AF33"/>
      <c r="AG33"/>
      <c r="AH33"/>
      <c r="AI33"/>
      <c r="AJ33"/>
      <c r="AK33"/>
      <c r="AL33"/>
      <c r="AM33"/>
      <c r="AN33"/>
      <c r="AO33"/>
    </row>
    <row r="34" spans="1:41" x14ac:dyDescent="0.3">
      <c r="P34" s="29"/>
      <c r="Q34" s="29"/>
      <c r="R34" s="29"/>
      <c r="S34" s="29"/>
      <c r="T34" s="29"/>
      <c r="U34" s="29"/>
      <c r="V34" s="29"/>
      <c r="W34" s="29"/>
      <c r="X34" s="29"/>
      <c r="Y34" s="29"/>
      <c r="Z34" s="29"/>
      <c r="AA34" s="29"/>
      <c r="AB34" s="29"/>
      <c r="AC34"/>
      <c r="AD34"/>
      <c r="AE34"/>
      <c r="AF34"/>
      <c r="AG34"/>
      <c r="AH34"/>
      <c r="AI34"/>
      <c r="AJ34"/>
      <c r="AK34"/>
      <c r="AL34"/>
      <c r="AM34"/>
      <c r="AN34"/>
      <c r="AO34"/>
    </row>
    <row r="35" spans="1:41" ht="15.6" x14ac:dyDescent="0.3">
      <c r="O35" s="567" t="s">
        <v>193</v>
      </c>
      <c r="P35" s="568"/>
      <c r="Q35" s="568"/>
      <c r="R35" s="568"/>
      <c r="S35" s="568"/>
      <c r="T35" s="568"/>
      <c r="U35" s="568"/>
      <c r="V35" s="568"/>
      <c r="W35" s="568"/>
      <c r="X35" s="569"/>
      <c r="Y35" s="568"/>
      <c r="Z35" s="568"/>
      <c r="AA35" s="570"/>
      <c r="AB35" s="29"/>
      <c r="AC35"/>
      <c r="AD35"/>
      <c r="AE35"/>
      <c r="AF35"/>
      <c r="AG35"/>
      <c r="AH35"/>
      <c r="AI35"/>
      <c r="AJ35"/>
      <c r="AK35"/>
      <c r="AL35"/>
      <c r="AM35"/>
      <c r="AN35"/>
      <c r="AO35"/>
    </row>
    <row r="36" spans="1:41" ht="15.6" x14ac:dyDescent="0.3">
      <c r="O36" s="571"/>
      <c r="P36" s="25"/>
      <c r="Q36" s="25"/>
      <c r="R36" s="25"/>
      <c r="S36" s="25"/>
      <c r="T36" s="25"/>
      <c r="U36" s="25"/>
      <c r="V36" s="25"/>
      <c r="W36" s="25"/>
      <c r="X36" s="25"/>
      <c r="Y36" s="25"/>
      <c r="Z36" s="25"/>
      <c r="AA36" s="572"/>
      <c r="AB36" s="29"/>
      <c r="AC36"/>
      <c r="AD36"/>
      <c r="AE36"/>
      <c r="AF36"/>
      <c r="AG36"/>
      <c r="AH36"/>
      <c r="AI36"/>
      <c r="AJ36"/>
      <c r="AK36"/>
      <c r="AL36"/>
      <c r="AM36"/>
      <c r="AN36"/>
      <c r="AO36"/>
    </row>
    <row r="37" spans="1:41" x14ac:dyDescent="0.3">
      <c r="O37" s="573"/>
      <c r="P37" s="25"/>
      <c r="Q37" s="574" t="s">
        <v>0</v>
      </c>
      <c r="R37" s="575"/>
      <c r="S37" s="25"/>
      <c r="T37" s="25"/>
      <c r="U37" s="25"/>
      <c r="V37" s="25"/>
      <c r="W37" s="78" t="s">
        <v>194</v>
      </c>
      <c r="X37" s="708"/>
      <c r="Y37" s="709"/>
      <c r="Z37" s="710"/>
      <c r="AA37" s="572"/>
      <c r="AB37" s="29"/>
      <c r="AC37"/>
      <c r="AD37"/>
      <c r="AE37"/>
      <c r="AF37"/>
      <c r="AG37"/>
      <c r="AH37"/>
      <c r="AI37"/>
      <c r="AJ37"/>
      <c r="AK37"/>
      <c r="AL37"/>
      <c r="AM37"/>
      <c r="AN37"/>
      <c r="AO37"/>
    </row>
    <row r="38" spans="1:41" x14ac:dyDescent="0.3">
      <c r="O38" s="573"/>
      <c r="P38" s="79" t="s">
        <v>1</v>
      </c>
      <c r="Q38" s="101" t="str">
        <f>IF(ISBLANK('Title Sheet'!C$8), "", 'Title Sheet'!C$8)</f>
        <v/>
      </c>
      <c r="R38" s="148"/>
      <c r="S38" s="25"/>
      <c r="T38" s="25"/>
      <c r="U38" s="25"/>
      <c r="V38" s="25"/>
      <c r="W38" s="25"/>
      <c r="X38" s="25"/>
      <c r="Y38" s="25"/>
      <c r="Z38" s="25"/>
      <c r="AA38" s="572"/>
      <c r="AB38" s="29"/>
      <c r="AC38"/>
      <c r="AD38"/>
      <c r="AE38"/>
      <c r="AF38"/>
      <c r="AG38"/>
      <c r="AH38"/>
      <c r="AI38"/>
      <c r="AJ38"/>
      <c r="AK38"/>
      <c r="AL38"/>
      <c r="AM38"/>
      <c r="AN38"/>
      <c r="AO38"/>
    </row>
    <row r="39" spans="1:41" x14ac:dyDescent="0.3">
      <c r="O39" s="573"/>
      <c r="P39" s="79" t="s">
        <v>3</v>
      </c>
      <c r="Q39" s="102" t="str">
        <f>IF(ISBLANK('Title Sheet'!C$16), "", 'Title Sheet'!C$16)</f>
        <v/>
      </c>
      <c r="R39" s="148"/>
      <c r="S39" s="25"/>
      <c r="T39" s="25"/>
      <c r="U39" s="25"/>
      <c r="V39" s="25"/>
      <c r="W39" s="25"/>
      <c r="X39" s="25"/>
      <c r="Y39" s="25"/>
      <c r="Z39" s="25"/>
      <c r="AA39" s="572"/>
      <c r="AB39" s="29"/>
      <c r="AC39"/>
      <c r="AD39"/>
      <c r="AE39"/>
      <c r="AF39"/>
      <c r="AG39"/>
      <c r="AH39"/>
      <c r="AI39"/>
      <c r="AJ39"/>
      <c r="AK39"/>
      <c r="AL39"/>
      <c r="AM39"/>
      <c r="AN39"/>
      <c r="AO39"/>
    </row>
    <row r="40" spans="1:41" x14ac:dyDescent="0.3">
      <c r="O40" s="573"/>
      <c r="P40" s="79" t="s">
        <v>6</v>
      </c>
      <c r="Q40" s="228" t="s">
        <v>84</v>
      </c>
      <c r="R40" s="25"/>
      <c r="S40" s="25"/>
      <c r="T40" s="25"/>
      <c r="U40" s="25"/>
      <c r="V40" s="25"/>
      <c r="W40" s="25"/>
      <c r="X40" s="25"/>
      <c r="Y40" s="25"/>
      <c r="Z40" s="25"/>
      <c r="AA40" s="572"/>
      <c r="AB40" s="29"/>
      <c r="AC40"/>
      <c r="AD40"/>
      <c r="AE40"/>
      <c r="AF40"/>
      <c r="AG40"/>
      <c r="AH40"/>
      <c r="AI40"/>
      <c r="AJ40"/>
      <c r="AK40"/>
      <c r="AL40"/>
      <c r="AM40"/>
      <c r="AN40"/>
      <c r="AO40"/>
    </row>
    <row r="41" spans="1:41" x14ac:dyDescent="0.3">
      <c r="A41" s="11"/>
      <c r="O41" s="573"/>
      <c r="P41" s="25"/>
      <c r="Q41" s="25"/>
      <c r="R41" s="25"/>
      <c r="S41" s="25"/>
      <c r="T41" s="80" t="s">
        <v>195</v>
      </c>
      <c r="U41" s="80" t="s">
        <v>196</v>
      </c>
      <c r="V41" s="80" t="s">
        <v>74</v>
      </c>
      <c r="W41" s="80" t="s">
        <v>75</v>
      </c>
      <c r="X41" s="80" t="s">
        <v>76</v>
      </c>
      <c r="Y41" s="25"/>
      <c r="Z41" s="25"/>
      <c r="AA41" s="572"/>
      <c r="AB41" s="29"/>
      <c r="AC41"/>
      <c r="AD41"/>
      <c r="AE41"/>
      <c r="AF41"/>
      <c r="AG41"/>
      <c r="AH41"/>
      <c r="AI41"/>
      <c r="AJ41"/>
      <c r="AK41"/>
      <c r="AL41"/>
      <c r="AM41"/>
      <c r="AN41"/>
      <c r="AO41"/>
    </row>
    <row r="42" spans="1:41" x14ac:dyDescent="0.3">
      <c r="O42" s="573"/>
      <c r="P42" s="25"/>
      <c r="Q42" s="25"/>
      <c r="R42" s="25"/>
      <c r="S42" s="24" t="s">
        <v>197</v>
      </c>
      <c r="T42" s="229"/>
      <c r="U42" s="229"/>
      <c r="V42" s="229"/>
      <c r="W42" s="230"/>
      <c r="X42" s="231"/>
      <c r="Y42" s="31"/>
      <c r="Z42" s="25"/>
      <c r="AA42" s="572"/>
      <c r="AB42" s="29"/>
      <c r="AC42"/>
      <c r="AD42"/>
      <c r="AE42"/>
      <c r="AF42"/>
      <c r="AG42"/>
      <c r="AH42"/>
      <c r="AI42"/>
      <c r="AJ42"/>
      <c r="AK42"/>
      <c r="AL42"/>
      <c r="AM42"/>
      <c r="AN42"/>
      <c r="AO42"/>
    </row>
    <row r="43" spans="1:41" x14ac:dyDescent="0.3">
      <c r="O43" s="573"/>
      <c r="P43" s="35"/>
      <c r="Q43" s="25"/>
      <c r="R43" s="25"/>
      <c r="S43" s="24" t="s">
        <v>198</v>
      </c>
      <c r="T43" s="232"/>
      <c r="U43" s="232"/>
      <c r="V43" s="232"/>
      <c r="W43" s="233"/>
      <c r="X43" s="234"/>
      <c r="Y43" s="31"/>
      <c r="Z43" s="25"/>
      <c r="AA43" s="572"/>
      <c r="AB43" s="29"/>
      <c r="AC43"/>
      <c r="AD43"/>
      <c r="AE43"/>
      <c r="AF43"/>
      <c r="AG43"/>
      <c r="AH43"/>
      <c r="AI43"/>
      <c r="AJ43"/>
      <c r="AK43"/>
      <c r="AL43"/>
      <c r="AM43"/>
      <c r="AN43"/>
      <c r="AO43"/>
    </row>
    <row r="44" spans="1:41" x14ac:dyDescent="0.3">
      <c r="O44" s="573"/>
      <c r="P44" s="35"/>
      <c r="Q44" s="25"/>
      <c r="R44" s="25"/>
      <c r="S44" s="24" t="s">
        <v>199</v>
      </c>
      <c r="T44" s="235"/>
      <c r="U44" s="235"/>
      <c r="V44" s="235"/>
      <c r="W44" s="236"/>
      <c r="X44" s="237"/>
      <c r="Y44" s="31"/>
      <c r="Z44" s="25"/>
      <c r="AA44" s="572"/>
      <c r="AB44" s="29"/>
      <c r="AC44"/>
      <c r="AD44"/>
      <c r="AE44"/>
      <c r="AF44"/>
      <c r="AG44"/>
      <c r="AH44"/>
      <c r="AI44"/>
      <c r="AJ44"/>
      <c r="AK44"/>
      <c r="AL44"/>
      <c r="AM44"/>
      <c r="AN44"/>
      <c r="AO44"/>
    </row>
    <row r="45" spans="1:41" x14ac:dyDescent="0.3">
      <c r="O45" s="573"/>
      <c r="P45" s="35"/>
      <c r="Q45" s="25"/>
      <c r="R45" s="25"/>
      <c r="S45" s="24" t="s">
        <v>200</v>
      </c>
      <c r="T45" s="238"/>
      <c r="U45" s="238"/>
      <c r="V45" s="238"/>
      <c r="W45" s="239"/>
      <c r="X45" s="240"/>
      <c r="Y45" s="31"/>
      <c r="Z45" s="25"/>
      <c r="AA45" s="572"/>
      <c r="AB45" s="29"/>
      <c r="AC45"/>
      <c r="AD45"/>
      <c r="AE45"/>
      <c r="AF45"/>
      <c r="AG45"/>
      <c r="AH45"/>
      <c r="AI45"/>
      <c r="AJ45"/>
      <c r="AK45"/>
      <c r="AL45"/>
      <c r="AM45"/>
      <c r="AN45"/>
      <c r="AO45"/>
    </row>
    <row r="46" spans="1:41" x14ac:dyDescent="0.3">
      <c r="O46" s="573"/>
      <c r="P46" s="35"/>
      <c r="Q46" s="25"/>
      <c r="R46" s="25"/>
      <c r="S46" s="25"/>
      <c r="T46" s="31"/>
      <c r="U46" s="31"/>
      <c r="V46" s="31"/>
      <c r="W46" s="31"/>
      <c r="X46" s="31"/>
      <c r="Y46" s="31"/>
      <c r="Z46" s="25"/>
      <c r="AA46" s="572"/>
      <c r="AB46" s="29"/>
      <c r="AC46"/>
      <c r="AD46"/>
      <c r="AE46"/>
      <c r="AF46"/>
      <c r="AG46"/>
      <c r="AH46"/>
      <c r="AI46"/>
      <c r="AJ46"/>
      <c r="AK46"/>
      <c r="AL46"/>
      <c r="AM46"/>
      <c r="AN46"/>
      <c r="AO46"/>
    </row>
    <row r="47" spans="1:41" x14ac:dyDescent="0.3">
      <c r="O47" s="573"/>
      <c r="P47" s="35"/>
      <c r="Q47" s="25"/>
      <c r="R47" s="25"/>
      <c r="S47" s="24" t="s">
        <v>450</v>
      </c>
      <c r="T47" s="38" t="str">
        <f>IF(ISNUMBER(T44), (T43-MIN(T44:T45))/(T43-T42), "")</f>
        <v/>
      </c>
      <c r="U47" s="38" t="str">
        <f>IF(ISNUMBER(U44), (U43-MIN(U44:U45))/(U43-U42), "")</f>
        <v/>
      </c>
      <c r="V47" s="38" t="str">
        <f>IF(ISNUMBER(V44), (V43-MIN(V44:V45))/(V43-V42), "")</f>
        <v/>
      </c>
      <c r="W47" s="31"/>
      <c r="X47" s="26" t="s">
        <v>77</v>
      </c>
      <c r="Y47" s="36" t="str">
        <f>IF(SUM(T47:V47)&gt;0, AVERAGE(T47:V47), "")</f>
        <v/>
      </c>
      <c r="Z47" s="81" t="s">
        <v>202</v>
      </c>
      <c r="AA47" s="572"/>
      <c r="AB47" s="29"/>
      <c r="AC47"/>
      <c r="AD47"/>
      <c r="AE47"/>
      <c r="AF47"/>
      <c r="AG47"/>
      <c r="AH47"/>
      <c r="AI47"/>
      <c r="AJ47"/>
      <c r="AK47"/>
      <c r="AL47"/>
      <c r="AM47"/>
      <c r="AN47"/>
      <c r="AO47"/>
    </row>
    <row r="48" spans="1:41" x14ac:dyDescent="0.3">
      <c r="O48" s="573"/>
      <c r="P48" s="25"/>
      <c r="Q48" s="25"/>
      <c r="R48" s="25"/>
      <c r="S48" s="24" t="s">
        <v>451</v>
      </c>
      <c r="T48" s="39" t="str">
        <f>IF(ISNUMBER(T47), 1-T47, "")</f>
        <v/>
      </c>
      <c r="U48" s="39" t="str">
        <f>IF(ISNUMBER(U47), 1-U47, "")</f>
        <v/>
      </c>
      <c r="V48" s="39" t="str">
        <f>IF(ISNUMBER(V47), 1-V47, "")</f>
        <v/>
      </c>
      <c r="W48" s="31"/>
      <c r="X48" s="26" t="s">
        <v>78</v>
      </c>
      <c r="Y48" s="37" t="str">
        <f>IF(SUM(T48:V48)&gt;0, AVERAGE(T48:V48), "")</f>
        <v/>
      </c>
      <c r="Z48" s="27" t="s">
        <v>204</v>
      </c>
      <c r="AA48" s="572"/>
      <c r="AB48" s="29"/>
      <c r="AC48"/>
      <c r="AD48"/>
      <c r="AE48"/>
      <c r="AF48"/>
      <c r="AG48"/>
      <c r="AH48"/>
      <c r="AI48"/>
      <c r="AJ48"/>
      <c r="AK48"/>
      <c r="AL48"/>
      <c r="AM48"/>
      <c r="AN48"/>
      <c r="AO48"/>
    </row>
    <row r="49" spans="1:41" x14ac:dyDescent="0.3">
      <c r="O49" s="576"/>
      <c r="P49" s="577"/>
      <c r="Q49" s="577"/>
      <c r="R49" s="577"/>
      <c r="S49" s="577"/>
      <c r="T49" s="577"/>
      <c r="U49" s="577"/>
      <c r="V49" s="577"/>
      <c r="W49" s="577"/>
      <c r="X49" s="577"/>
      <c r="Y49" s="577"/>
      <c r="Z49" s="577"/>
      <c r="AA49" s="578"/>
      <c r="AB49" s="29"/>
      <c r="AC49"/>
      <c r="AD49"/>
      <c r="AE49"/>
      <c r="AF49"/>
      <c r="AG49"/>
      <c r="AH49"/>
      <c r="AI49"/>
      <c r="AJ49"/>
      <c r="AK49"/>
      <c r="AL49"/>
      <c r="AM49"/>
      <c r="AN49"/>
      <c r="AO49"/>
    </row>
    <row r="51" spans="1:41" x14ac:dyDescent="0.3">
      <c r="P51" s="29"/>
      <c r="Q51" s="29"/>
      <c r="R51" s="29"/>
      <c r="S51" s="29"/>
      <c r="T51" s="29"/>
      <c r="U51" s="29"/>
      <c r="V51" s="29"/>
      <c r="W51" s="29"/>
      <c r="X51" s="29"/>
      <c r="Y51" s="29"/>
      <c r="Z51" s="29"/>
      <c r="AA51" s="29"/>
      <c r="AB51" s="29"/>
      <c r="AC51"/>
      <c r="AD51"/>
      <c r="AE51"/>
      <c r="AF51"/>
      <c r="AG51"/>
      <c r="AH51"/>
      <c r="AI51"/>
      <c r="AJ51"/>
      <c r="AK51"/>
      <c r="AL51"/>
      <c r="AM51"/>
      <c r="AN51"/>
      <c r="AO51"/>
    </row>
    <row r="52" spans="1:41" x14ac:dyDescent="0.3">
      <c r="P52" s="29"/>
      <c r="Q52" s="29"/>
      <c r="R52" s="29"/>
      <c r="S52" s="29"/>
      <c r="T52" s="29"/>
      <c r="U52" s="29"/>
      <c r="V52" s="29"/>
      <c r="W52" s="29"/>
      <c r="X52" s="29"/>
      <c r="Y52" s="29"/>
      <c r="Z52" s="29"/>
      <c r="AA52" s="29"/>
      <c r="AB52" s="29"/>
      <c r="AC52"/>
      <c r="AD52"/>
      <c r="AE52"/>
      <c r="AF52"/>
      <c r="AG52"/>
      <c r="AH52"/>
      <c r="AI52"/>
      <c r="AJ52"/>
      <c r="AK52"/>
      <c r="AL52"/>
      <c r="AM52"/>
      <c r="AN52"/>
      <c r="AO52"/>
    </row>
    <row r="53" spans="1:41" x14ac:dyDescent="0.3">
      <c r="P53" s="29"/>
      <c r="Q53" s="29"/>
      <c r="R53" s="29"/>
      <c r="S53" s="29"/>
      <c r="T53" s="29"/>
      <c r="U53" s="29"/>
      <c r="V53" s="29"/>
      <c r="W53" s="29"/>
      <c r="X53" s="29"/>
      <c r="Y53" s="29"/>
      <c r="Z53" s="29"/>
      <c r="AA53" s="29"/>
      <c r="AB53" s="29"/>
      <c r="AC53"/>
      <c r="AD53"/>
      <c r="AE53"/>
      <c r="AF53"/>
      <c r="AG53"/>
      <c r="AH53"/>
      <c r="AI53"/>
      <c r="AJ53"/>
      <c r="AK53"/>
      <c r="AL53"/>
      <c r="AM53"/>
      <c r="AN53"/>
      <c r="AO53"/>
    </row>
    <row r="54" spans="1:41" x14ac:dyDescent="0.3">
      <c r="P54" s="29"/>
      <c r="Q54" s="29"/>
      <c r="R54" s="29"/>
      <c r="S54" s="29"/>
      <c r="T54" s="29"/>
      <c r="U54" s="29"/>
      <c r="V54" s="29"/>
      <c r="W54" s="29"/>
      <c r="X54" s="29"/>
      <c r="Y54" s="29"/>
      <c r="Z54" s="29"/>
      <c r="AA54" s="29"/>
      <c r="AB54" s="29"/>
      <c r="AC54"/>
      <c r="AD54"/>
      <c r="AE54"/>
      <c r="AF54"/>
      <c r="AG54"/>
      <c r="AH54"/>
      <c r="AI54"/>
      <c r="AJ54"/>
      <c r="AK54"/>
      <c r="AL54"/>
      <c r="AM54"/>
      <c r="AN54"/>
      <c r="AO54"/>
    </row>
    <row r="55" spans="1:41" x14ac:dyDescent="0.3">
      <c r="P55" s="29"/>
      <c r="Q55" s="29"/>
      <c r="R55" s="29"/>
      <c r="S55" s="29"/>
      <c r="T55" s="29"/>
      <c r="U55" s="29"/>
      <c r="V55" s="29"/>
      <c r="W55" s="29"/>
      <c r="X55" s="29"/>
      <c r="Y55" s="29"/>
      <c r="Z55" s="29"/>
      <c r="AA55" s="29"/>
      <c r="AB55" s="29"/>
      <c r="AC55"/>
      <c r="AD55"/>
      <c r="AE55"/>
      <c r="AF55"/>
      <c r="AG55"/>
      <c r="AH55"/>
      <c r="AI55"/>
      <c r="AJ55"/>
      <c r="AK55"/>
      <c r="AL55"/>
      <c r="AM55"/>
      <c r="AN55"/>
      <c r="AO55"/>
    </row>
    <row r="56" spans="1:41" x14ac:dyDescent="0.3">
      <c r="P56" s="29"/>
      <c r="Q56" s="29"/>
      <c r="R56" s="29"/>
      <c r="S56" s="29"/>
      <c r="T56" s="29"/>
      <c r="U56" s="29"/>
      <c r="V56" s="29"/>
      <c r="W56" s="29"/>
      <c r="X56" s="29"/>
      <c r="Y56" s="29"/>
      <c r="Z56" s="29"/>
      <c r="AA56" s="29"/>
      <c r="AB56" s="29"/>
      <c r="AC56"/>
      <c r="AD56"/>
      <c r="AE56"/>
      <c r="AF56"/>
      <c r="AG56"/>
      <c r="AH56"/>
      <c r="AI56"/>
      <c r="AJ56"/>
      <c r="AK56"/>
      <c r="AL56"/>
      <c r="AM56"/>
      <c r="AN56"/>
      <c r="AO56"/>
    </row>
    <row r="57" spans="1:41" x14ac:dyDescent="0.3">
      <c r="P57" s="29"/>
      <c r="Q57" s="29"/>
      <c r="R57" s="29"/>
      <c r="S57" s="29"/>
      <c r="T57" s="29"/>
      <c r="U57" s="29"/>
      <c r="V57" s="29"/>
      <c r="W57" s="29"/>
      <c r="X57" s="29"/>
      <c r="Y57" s="29"/>
      <c r="Z57" s="29"/>
      <c r="AA57" s="29"/>
      <c r="AB57" s="29"/>
      <c r="AC57"/>
      <c r="AD57"/>
      <c r="AE57"/>
      <c r="AF57"/>
      <c r="AG57"/>
      <c r="AH57"/>
      <c r="AI57"/>
      <c r="AJ57"/>
      <c r="AK57"/>
      <c r="AL57"/>
      <c r="AM57"/>
      <c r="AN57"/>
      <c r="AO57"/>
    </row>
    <row r="58" spans="1:41" x14ac:dyDescent="0.3">
      <c r="P58" s="29"/>
      <c r="Q58" s="29"/>
      <c r="R58" s="29"/>
      <c r="S58" s="29"/>
      <c r="T58" s="29"/>
      <c r="U58" s="29"/>
      <c r="V58" s="29"/>
      <c r="W58" s="29"/>
      <c r="X58" s="29"/>
      <c r="Y58" s="29"/>
      <c r="Z58" s="29"/>
      <c r="AA58" s="29"/>
      <c r="AB58" s="29"/>
      <c r="AC58"/>
      <c r="AD58"/>
      <c r="AE58"/>
      <c r="AF58"/>
      <c r="AG58"/>
      <c r="AH58"/>
      <c r="AI58"/>
      <c r="AJ58"/>
      <c r="AK58"/>
      <c r="AL58"/>
      <c r="AM58"/>
      <c r="AN58"/>
      <c r="AO58"/>
    </row>
    <row r="59" spans="1:41" x14ac:dyDescent="0.3">
      <c r="P59" s="29"/>
      <c r="Q59" s="29"/>
      <c r="R59" s="29"/>
      <c r="S59" s="29"/>
      <c r="T59" s="29"/>
      <c r="U59" s="29"/>
      <c r="V59" s="29"/>
      <c r="W59" s="29"/>
      <c r="X59" s="29"/>
      <c r="Y59" s="29"/>
      <c r="Z59" s="29"/>
      <c r="AA59" s="29"/>
      <c r="AB59" s="29"/>
      <c r="AC59"/>
      <c r="AD59"/>
      <c r="AE59"/>
      <c r="AF59"/>
      <c r="AG59"/>
      <c r="AH59"/>
      <c r="AI59"/>
      <c r="AJ59"/>
      <c r="AK59"/>
      <c r="AL59"/>
      <c r="AM59"/>
      <c r="AN59"/>
      <c r="AO59"/>
    </row>
    <row r="60" spans="1:41" x14ac:dyDescent="0.3">
      <c r="P60" s="29"/>
      <c r="Q60" s="29"/>
      <c r="R60" s="29"/>
      <c r="S60" s="29"/>
      <c r="T60" s="29"/>
      <c r="U60" s="29"/>
      <c r="V60" s="29"/>
      <c r="W60" s="29"/>
      <c r="X60" s="29"/>
      <c r="Y60" s="29"/>
      <c r="Z60" s="29"/>
      <c r="AA60" s="29"/>
      <c r="AB60" s="29"/>
      <c r="AC60"/>
      <c r="AD60"/>
      <c r="AE60"/>
      <c r="AF60"/>
      <c r="AG60"/>
      <c r="AH60"/>
      <c r="AI60"/>
      <c r="AJ60"/>
      <c r="AK60"/>
      <c r="AL60"/>
      <c r="AM60"/>
      <c r="AN60"/>
      <c r="AO60"/>
    </row>
    <row r="61" spans="1:41" x14ac:dyDescent="0.3">
      <c r="P61" s="29"/>
      <c r="Q61" s="29"/>
      <c r="R61" s="29"/>
      <c r="S61" s="29"/>
      <c r="T61" s="29"/>
      <c r="U61" s="29"/>
      <c r="V61" s="29"/>
      <c r="W61" s="29"/>
      <c r="X61" s="29"/>
      <c r="Y61" s="29"/>
      <c r="Z61" s="29"/>
      <c r="AA61" s="29"/>
      <c r="AB61" s="29"/>
      <c r="AC61"/>
      <c r="AD61"/>
      <c r="AE61"/>
      <c r="AF61"/>
      <c r="AG61"/>
      <c r="AH61"/>
      <c r="AI61"/>
      <c r="AJ61"/>
      <c r="AK61"/>
      <c r="AL61"/>
      <c r="AM61"/>
      <c r="AN61"/>
      <c r="AO61"/>
    </row>
    <row r="62" spans="1:41" x14ac:dyDescent="0.3">
      <c r="P62" s="29"/>
      <c r="Q62" s="29"/>
      <c r="R62" s="29"/>
      <c r="S62" s="29"/>
      <c r="T62" s="29"/>
      <c r="U62" s="29"/>
      <c r="V62" s="29"/>
      <c r="W62" s="29"/>
      <c r="X62" s="29"/>
      <c r="Y62" s="29"/>
      <c r="Z62" s="29"/>
      <c r="AA62" s="29"/>
      <c r="AB62" s="29"/>
      <c r="AC62"/>
      <c r="AD62"/>
      <c r="AE62"/>
      <c r="AF62"/>
      <c r="AG62"/>
      <c r="AH62"/>
      <c r="AI62"/>
      <c r="AJ62"/>
      <c r="AK62"/>
      <c r="AL62"/>
      <c r="AM62"/>
      <c r="AN62"/>
      <c r="AO62"/>
    </row>
    <row r="63" spans="1:41" x14ac:dyDescent="0.3">
      <c r="P63" s="29"/>
      <c r="Q63" s="29"/>
      <c r="R63" s="29"/>
      <c r="S63" s="29"/>
      <c r="T63" s="29"/>
      <c r="U63" s="29"/>
      <c r="V63" s="29"/>
      <c r="W63" s="29"/>
      <c r="X63" s="29"/>
      <c r="Y63" s="29"/>
      <c r="Z63" s="29"/>
      <c r="AA63" s="29"/>
      <c r="AB63" s="29"/>
      <c r="AC63"/>
      <c r="AD63"/>
      <c r="AE63"/>
      <c r="AF63"/>
      <c r="AG63"/>
      <c r="AH63"/>
      <c r="AI63"/>
      <c r="AJ63"/>
      <c r="AK63"/>
      <c r="AL63"/>
      <c r="AM63"/>
      <c r="AN63"/>
      <c r="AO63"/>
    </row>
    <row r="64" spans="1:41" x14ac:dyDescent="0.3">
      <c r="A64" s="29"/>
      <c r="P64" s="29"/>
      <c r="Q64" s="29"/>
      <c r="R64" s="29"/>
      <c r="S64" s="29"/>
      <c r="T64" s="29"/>
      <c r="U64" s="29"/>
      <c r="V64" s="29"/>
      <c r="W64" s="29"/>
      <c r="X64" s="29"/>
      <c r="Y64" s="29"/>
      <c r="Z64" s="29"/>
      <c r="AA64" s="29"/>
      <c r="AB64" s="29"/>
      <c r="AC64"/>
      <c r="AD64"/>
      <c r="AE64"/>
      <c r="AF64"/>
      <c r="AG64"/>
      <c r="AH64"/>
      <c r="AI64"/>
      <c r="AJ64"/>
      <c r="AK64"/>
      <c r="AL64"/>
      <c r="AM64"/>
      <c r="AN64"/>
      <c r="AO64"/>
    </row>
    <row r="65" spans="16:41" x14ac:dyDescent="0.3">
      <c r="P65" s="29"/>
      <c r="Q65" s="29"/>
      <c r="R65" s="29"/>
      <c r="S65" s="29"/>
      <c r="T65" s="29"/>
      <c r="U65" s="29"/>
      <c r="V65" s="29"/>
      <c r="W65" s="29"/>
      <c r="X65" s="29"/>
      <c r="Y65" s="29"/>
      <c r="Z65" s="29"/>
      <c r="AA65" s="29"/>
      <c r="AB65" s="29"/>
      <c r="AC65"/>
      <c r="AD65"/>
      <c r="AE65"/>
      <c r="AF65"/>
      <c r="AG65"/>
      <c r="AH65"/>
      <c r="AI65"/>
      <c r="AJ65"/>
      <c r="AK65"/>
      <c r="AL65"/>
      <c r="AM65"/>
      <c r="AN65"/>
      <c r="AO65"/>
    </row>
    <row r="82" spans="1:1" x14ac:dyDescent="0.3">
      <c r="A82" s="11"/>
    </row>
  </sheetData>
  <mergeCells count="6">
    <mergeCell ref="X37:Z37"/>
    <mergeCell ref="X5:Z5"/>
    <mergeCell ref="X21:Z21"/>
    <mergeCell ref="AM5:AO5"/>
    <mergeCell ref="N1:AB1"/>
    <mergeCell ref="AC1:AQ1"/>
  </mergeCells>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AS134"/>
  <sheetViews>
    <sheetView zoomScaleNormal="100" workbookViewId="0">
      <selection activeCell="R11" sqref="R11:S11"/>
    </sheetView>
  </sheetViews>
  <sheetFormatPr defaultRowHeight="14.4" x14ac:dyDescent="0.3"/>
  <cols>
    <col min="1" max="1" width="6.6640625" style="23" customWidth="1"/>
    <col min="2" max="2" width="3.6640625" hidden="1" customWidth="1"/>
    <col min="3" max="3" width="10.109375" hidden="1" customWidth="1"/>
    <col min="4" max="10" width="9.109375" hidden="1" customWidth="1"/>
    <col min="11" max="11" width="9.109375" style="23" hidden="1" customWidth="1"/>
    <col min="12" max="12" width="9.109375" hidden="1" customWidth="1"/>
    <col min="13" max="13" width="3.6640625" hidden="1" customWidth="1"/>
    <col min="14" max="14" width="3.6640625" customWidth="1"/>
    <col min="15" max="15" width="2.6640625" customWidth="1"/>
    <col min="16" max="19" width="10.6640625" customWidth="1"/>
    <col min="20" max="21" width="18.6640625" customWidth="1"/>
    <col min="22" max="26" width="10.6640625" customWidth="1"/>
    <col min="27" max="27" width="3.6640625" customWidth="1"/>
    <col min="28" max="30" width="3.6640625" style="29" customWidth="1"/>
    <col min="31" max="35" width="12.6640625" customWidth="1"/>
    <col min="36" max="38" width="3.6640625" customWidth="1"/>
    <col min="39" max="43" width="12.6640625" customWidth="1"/>
    <col min="44" max="45" width="3.6640625" customWidth="1"/>
  </cols>
  <sheetData>
    <row r="1" spans="1:45" s="11" customFormat="1" ht="20.100000000000001" customHeight="1" x14ac:dyDescent="0.35">
      <c r="A1" s="23"/>
      <c r="B1" s="213"/>
      <c r="C1" s="213"/>
      <c r="D1" s="213"/>
      <c r="E1" s="213"/>
      <c r="F1" s="213"/>
      <c r="G1" s="213" t="s">
        <v>770</v>
      </c>
      <c r="H1" s="213"/>
      <c r="I1" s="213"/>
      <c r="J1" s="213"/>
      <c r="K1" s="213"/>
      <c r="L1" s="213"/>
      <c r="M1" s="213"/>
      <c r="N1" s="714" t="s">
        <v>776</v>
      </c>
      <c r="O1" s="715"/>
      <c r="P1" s="715"/>
      <c r="Q1" s="715"/>
      <c r="R1" s="715"/>
      <c r="S1" s="715"/>
      <c r="T1" s="715"/>
      <c r="U1" s="715"/>
      <c r="V1" s="715"/>
      <c r="W1" s="715"/>
      <c r="X1" s="715"/>
      <c r="Y1" s="715"/>
      <c r="Z1" s="715"/>
      <c r="AA1" s="715"/>
      <c r="AB1" s="716"/>
      <c r="AC1" s="714" t="s">
        <v>776</v>
      </c>
      <c r="AD1" s="715"/>
      <c r="AE1" s="715"/>
      <c r="AF1" s="715"/>
      <c r="AG1" s="715"/>
      <c r="AH1" s="715"/>
      <c r="AI1" s="715"/>
      <c r="AJ1" s="715"/>
      <c r="AK1" s="715"/>
      <c r="AL1" s="715"/>
      <c r="AM1" s="715"/>
      <c r="AN1" s="715"/>
      <c r="AO1" s="715"/>
      <c r="AP1" s="715"/>
      <c r="AQ1" s="715"/>
      <c r="AR1" s="715"/>
      <c r="AS1" s="716"/>
    </row>
    <row r="2" spans="1:45" ht="15" customHeight="1" x14ac:dyDescent="0.3"/>
    <row r="3" spans="1:45" ht="15" customHeight="1" x14ac:dyDescent="0.3">
      <c r="B3" s="346" t="s">
        <v>316</v>
      </c>
      <c r="C3" s="363"/>
      <c r="D3" s="363"/>
      <c r="E3" s="363"/>
      <c r="F3" s="363"/>
      <c r="G3" s="363"/>
      <c r="H3" s="363"/>
      <c r="I3" s="363"/>
      <c r="J3" s="363"/>
      <c r="K3" s="363"/>
      <c r="L3" s="363"/>
      <c r="M3" s="363"/>
      <c r="O3" s="579" t="s">
        <v>784</v>
      </c>
      <c r="P3" s="580"/>
      <c r="Q3" s="581"/>
      <c r="R3" s="581"/>
      <c r="S3" s="557"/>
      <c r="T3" s="581"/>
      <c r="U3" s="581"/>
      <c r="V3" s="581"/>
      <c r="W3" s="581"/>
      <c r="X3" s="581"/>
      <c r="Y3" s="581"/>
      <c r="Z3" s="556"/>
      <c r="AA3" s="582"/>
      <c r="AB3" s="82"/>
      <c r="AC3" s="82"/>
      <c r="AD3" s="598"/>
      <c r="AE3" s="581"/>
      <c r="AF3" s="581"/>
      <c r="AG3" s="581"/>
      <c r="AH3" s="581"/>
      <c r="AI3" s="581"/>
      <c r="AJ3" s="582"/>
      <c r="AK3" s="28"/>
      <c r="AL3" s="603"/>
      <c r="AM3" s="556"/>
      <c r="AN3" s="556"/>
      <c r="AO3" s="556"/>
      <c r="AP3" s="581"/>
      <c r="AQ3" s="581"/>
      <c r="AR3" s="582"/>
    </row>
    <row r="4" spans="1:45" ht="15" customHeight="1" x14ac:dyDescent="0.3">
      <c r="B4" s="363"/>
      <c r="C4" s="363"/>
      <c r="D4" s="363"/>
      <c r="E4" s="363"/>
      <c r="F4" s="363"/>
      <c r="G4" s="363"/>
      <c r="H4" s="363"/>
      <c r="I4" s="363"/>
      <c r="J4" s="363"/>
      <c r="K4" s="363"/>
      <c r="L4" s="363"/>
      <c r="M4" s="363"/>
      <c r="O4" s="583"/>
      <c r="P4" s="560"/>
      <c r="Q4" s="368"/>
      <c r="R4" s="368"/>
      <c r="S4" s="368"/>
      <c r="T4" s="368"/>
      <c r="U4" s="368"/>
      <c r="V4" s="604" t="s">
        <v>2</v>
      </c>
      <c r="W4" s="352"/>
      <c r="X4" s="605" t="s">
        <v>22</v>
      </c>
      <c r="Y4" s="368"/>
      <c r="Z4" s="368"/>
      <c r="AA4" s="585"/>
      <c r="AB4" s="82"/>
      <c r="AC4" s="82"/>
      <c r="AD4" s="586"/>
      <c r="AE4" s="368"/>
      <c r="AF4" s="368"/>
      <c r="AG4" s="368"/>
      <c r="AH4" s="368"/>
      <c r="AI4" s="368"/>
      <c r="AJ4" s="585"/>
      <c r="AK4" s="28"/>
      <c r="AL4" s="562"/>
      <c r="AM4" s="352"/>
      <c r="AN4" s="352"/>
      <c r="AO4" s="352"/>
      <c r="AP4" s="352"/>
      <c r="AQ4" s="352"/>
      <c r="AR4" s="585"/>
    </row>
    <row r="5" spans="1:45" ht="15" customHeight="1" x14ac:dyDescent="0.3">
      <c r="B5" s="363"/>
      <c r="C5" s="363"/>
      <c r="D5" s="363"/>
      <c r="E5" s="363"/>
      <c r="F5" s="363"/>
      <c r="G5" s="363"/>
      <c r="H5" s="363"/>
      <c r="I5" s="363"/>
      <c r="J5" s="363"/>
      <c r="K5" s="363"/>
      <c r="L5" s="363"/>
      <c r="M5" s="363"/>
      <c r="O5" s="586"/>
      <c r="P5" s="368"/>
      <c r="Q5" s="368"/>
      <c r="R5" s="412" t="s">
        <v>0</v>
      </c>
      <c r="S5" s="563"/>
      <c r="T5" s="352"/>
      <c r="U5" s="587" t="s">
        <v>788</v>
      </c>
      <c r="V5" s="241"/>
      <c r="W5" s="314" t="s">
        <v>789</v>
      </c>
      <c r="X5" s="342" t="s">
        <v>27</v>
      </c>
      <c r="Y5" s="245"/>
      <c r="Z5" s="314" t="s">
        <v>801</v>
      </c>
      <c r="AA5" s="561"/>
      <c r="AB5" s="28"/>
      <c r="AC5" s="28"/>
      <c r="AD5" s="562"/>
      <c r="AE5" s="368"/>
      <c r="AF5" s="368"/>
      <c r="AG5" s="412"/>
      <c r="AH5" s="368"/>
      <c r="AI5" s="368"/>
      <c r="AJ5" s="585"/>
      <c r="AK5" s="28"/>
      <c r="AL5" s="562"/>
      <c r="AM5" s="352"/>
      <c r="AN5" s="352"/>
      <c r="AO5" s="352"/>
      <c r="AP5" s="352"/>
      <c r="AQ5" s="352"/>
      <c r="AR5" s="585"/>
    </row>
    <row r="6" spans="1:45" ht="15" customHeight="1" x14ac:dyDescent="0.3">
      <c r="B6" s="363"/>
      <c r="C6" s="363"/>
      <c r="D6" s="363"/>
      <c r="E6" s="363"/>
      <c r="F6" s="363"/>
      <c r="G6" s="363"/>
      <c r="H6" s="363"/>
      <c r="I6" s="363"/>
      <c r="J6" s="363"/>
      <c r="K6" s="363"/>
      <c r="L6" s="363"/>
      <c r="M6" s="363"/>
      <c r="O6" s="586"/>
      <c r="P6" s="368"/>
      <c r="Q6" s="597" t="s">
        <v>1</v>
      </c>
      <c r="R6" s="101" t="str">
        <f>IF(ISBLANK('Title Sheet'!C$8), "", 'Title Sheet'!C$8)</f>
        <v/>
      </c>
      <c r="S6" s="314"/>
      <c r="T6" s="368"/>
      <c r="U6" s="366" t="s">
        <v>4</v>
      </c>
      <c r="V6" s="242"/>
      <c r="W6" s="367" t="s">
        <v>5</v>
      </c>
      <c r="X6" s="342" t="s">
        <v>798</v>
      </c>
      <c r="Y6" s="409" t="str">
        <f>IF(AND(ISNUMBER(Y5), ISNUMBER(V11)), Y5/V11, "")</f>
        <v/>
      </c>
      <c r="Z6" s="314" t="s">
        <v>799</v>
      </c>
      <c r="AA6" s="315"/>
      <c r="AC6" s="28"/>
      <c r="AD6" s="562"/>
      <c r="AE6" s="368"/>
      <c r="AF6" s="413"/>
      <c r="AG6" s="356"/>
      <c r="AH6" s="368"/>
      <c r="AI6" s="368"/>
      <c r="AJ6" s="585"/>
      <c r="AK6" s="28"/>
      <c r="AL6" s="562"/>
      <c r="AM6" s="352"/>
      <c r="AN6" s="352"/>
      <c r="AO6" s="352"/>
      <c r="AP6" s="352"/>
      <c r="AQ6" s="352"/>
      <c r="AR6" s="585"/>
    </row>
    <row r="7" spans="1:45" ht="15" customHeight="1" x14ac:dyDescent="0.3">
      <c r="B7" s="363"/>
      <c r="C7" s="363"/>
      <c r="D7" s="363"/>
      <c r="E7" s="363"/>
      <c r="F7" s="363"/>
      <c r="G7" s="363"/>
      <c r="H7" s="363"/>
      <c r="I7" s="363"/>
      <c r="J7" s="363"/>
      <c r="K7" s="363"/>
      <c r="L7" s="363"/>
      <c r="M7" s="363"/>
      <c r="O7" s="586"/>
      <c r="P7" s="368"/>
      <c r="Q7" s="597" t="s">
        <v>3</v>
      </c>
      <c r="R7" s="102" t="str">
        <f>IF(ISBLANK('Title Sheet'!C$16), "", 'Title Sheet'!C$16)</f>
        <v/>
      </c>
      <c r="S7" s="314"/>
      <c r="T7" s="368"/>
      <c r="U7" s="366" t="s">
        <v>79</v>
      </c>
      <c r="V7" s="242"/>
      <c r="W7" s="367" t="s">
        <v>9</v>
      </c>
      <c r="X7" s="342" t="s">
        <v>18</v>
      </c>
      <c r="Y7" s="408" t="str">
        <f>IF(AND(ISNUMBER(V12), ISNUMBER(Y5)), V12/Y5, "")</f>
        <v/>
      </c>
      <c r="Z7" s="314" t="s">
        <v>800</v>
      </c>
      <c r="AA7" s="315"/>
      <c r="AC7" s="28"/>
      <c r="AD7" s="562"/>
      <c r="AE7" s="368"/>
      <c r="AF7" s="413"/>
      <c r="AG7" s="356"/>
      <c r="AH7" s="368"/>
      <c r="AI7" s="368"/>
      <c r="AJ7" s="585"/>
      <c r="AK7" s="28"/>
      <c r="AL7" s="562"/>
      <c r="AM7" s="352"/>
      <c r="AN7" s="352"/>
      <c r="AO7" s="352"/>
      <c r="AP7" s="352"/>
      <c r="AQ7" s="352"/>
      <c r="AR7" s="585"/>
    </row>
    <row r="8" spans="1:45" ht="15" customHeight="1" x14ac:dyDescent="0.3">
      <c r="B8" s="363"/>
      <c r="C8" s="363"/>
      <c r="D8" s="363"/>
      <c r="E8" s="363"/>
      <c r="F8" s="363"/>
      <c r="G8" s="363"/>
      <c r="H8" s="363"/>
      <c r="I8" s="363"/>
      <c r="J8" s="363"/>
      <c r="K8" s="363"/>
      <c r="L8" s="363"/>
      <c r="M8" s="363"/>
      <c r="O8" s="586"/>
      <c r="P8" s="368"/>
      <c r="Q8" s="597" t="s">
        <v>6</v>
      </c>
      <c r="R8" s="228" t="s">
        <v>73</v>
      </c>
      <c r="S8" s="368"/>
      <c r="T8" s="368"/>
      <c r="U8" s="366" t="s">
        <v>11</v>
      </c>
      <c r="V8" s="243"/>
      <c r="W8" s="367" t="s">
        <v>12</v>
      </c>
      <c r="X8" s="314"/>
      <c r="Y8" s="314"/>
      <c r="Z8" s="314"/>
      <c r="AA8" s="315"/>
      <c r="AC8" s="82"/>
      <c r="AD8" s="586"/>
      <c r="AE8" s="368"/>
      <c r="AF8" s="413"/>
      <c r="AG8" s="356"/>
      <c r="AH8" s="368"/>
      <c r="AI8" s="368"/>
      <c r="AJ8" s="585"/>
      <c r="AK8" s="82"/>
      <c r="AL8" s="586"/>
      <c r="AM8" s="352"/>
      <c r="AN8" s="352"/>
      <c r="AO8" s="352"/>
      <c r="AP8" s="352"/>
      <c r="AQ8" s="352"/>
      <c r="AR8" s="585"/>
    </row>
    <row r="9" spans="1:45" ht="15" customHeight="1" x14ac:dyDescent="0.3">
      <c r="B9" s="363"/>
      <c r="C9" s="363"/>
      <c r="D9" s="363"/>
      <c r="E9" s="363"/>
      <c r="F9" s="363"/>
      <c r="G9" s="363"/>
      <c r="H9" s="363"/>
      <c r="I9" s="363"/>
      <c r="J9" s="363"/>
      <c r="K9" s="363"/>
      <c r="L9" s="363"/>
      <c r="M9" s="363"/>
      <c r="O9" s="586"/>
      <c r="P9" s="314"/>
      <c r="Q9" s="314"/>
      <c r="R9" s="314"/>
      <c r="S9" s="314"/>
      <c r="T9" s="314"/>
      <c r="U9" s="366" t="s">
        <v>21</v>
      </c>
      <c r="V9" s="244"/>
      <c r="W9" s="314" t="s">
        <v>9</v>
      </c>
      <c r="X9" s="606" t="s">
        <v>10</v>
      </c>
      <c r="Y9" s="368"/>
      <c r="Z9" s="368"/>
      <c r="AA9" s="561"/>
      <c r="AB9" s="28"/>
      <c r="AC9" s="71"/>
      <c r="AD9" s="374"/>
      <c r="AE9" s="352"/>
      <c r="AF9" s="352"/>
      <c r="AG9" s="352"/>
      <c r="AH9" s="368"/>
      <c r="AI9" s="368"/>
      <c r="AJ9" s="561"/>
      <c r="AK9" s="28"/>
      <c r="AL9" s="562"/>
      <c r="AM9" s="352"/>
      <c r="AN9" s="352"/>
      <c r="AO9" s="352"/>
      <c r="AP9" s="352"/>
      <c r="AQ9" s="352"/>
      <c r="AR9" s="585"/>
    </row>
    <row r="10" spans="1:45" ht="15" customHeight="1" x14ac:dyDescent="0.3">
      <c r="B10" s="363"/>
      <c r="C10" s="363"/>
      <c r="D10" s="363"/>
      <c r="E10" s="363"/>
      <c r="F10" s="363"/>
      <c r="G10" s="363"/>
      <c r="H10" s="363"/>
      <c r="I10" s="363"/>
      <c r="J10" s="363"/>
      <c r="K10" s="363"/>
      <c r="L10" s="363"/>
      <c r="M10" s="363"/>
      <c r="O10" s="586"/>
      <c r="P10" s="314"/>
      <c r="Q10" s="314"/>
      <c r="R10" s="606" t="s">
        <v>426</v>
      </c>
      <c r="S10" s="368"/>
      <c r="T10" s="352"/>
      <c r="U10" s="342" t="s">
        <v>7</v>
      </c>
      <c r="V10" s="406" t="str">
        <f>IF(AND(ISNUMBER(Y10), ISNUMBER(V6)), PI()*(Y10/2)^2*V6, "")</f>
        <v/>
      </c>
      <c r="W10" s="588" t="s">
        <v>8</v>
      </c>
      <c r="X10" s="366" t="s">
        <v>246</v>
      </c>
      <c r="Y10" s="246"/>
      <c r="Z10" s="370" t="s">
        <v>249</v>
      </c>
      <c r="AA10" s="561"/>
      <c r="AB10" s="28"/>
      <c r="AC10" s="71"/>
      <c r="AD10" s="313"/>
      <c r="AE10" s="314"/>
      <c r="AF10" s="314"/>
      <c r="AG10" s="314"/>
      <c r="AH10" s="314"/>
      <c r="AI10" s="314"/>
      <c r="AJ10" s="315"/>
      <c r="AK10" s="28"/>
      <c r="AL10" s="562"/>
      <c r="AM10" s="352"/>
      <c r="AN10" s="352"/>
      <c r="AO10" s="352"/>
      <c r="AP10" s="352"/>
      <c r="AQ10" s="352"/>
      <c r="AR10" s="585"/>
    </row>
    <row r="11" spans="1:45" ht="15" customHeight="1" x14ac:dyDescent="0.3">
      <c r="B11" s="363"/>
      <c r="C11" s="363"/>
      <c r="D11" s="363"/>
      <c r="E11" s="363"/>
      <c r="F11" s="363"/>
      <c r="G11" s="363"/>
      <c r="H11" s="363"/>
      <c r="I11" s="363"/>
      <c r="J11" s="363"/>
      <c r="K11" s="363"/>
      <c r="L11" s="363"/>
      <c r="M11" s="363"/>
      <c r="O11" s="586"/>
      <c r="P11" s="314"/>
      <c r="Q11" s="587" t="s">
        <v>428</v>
      </c>
      <c r="R11" s="658"/>
      <c r="S11" s="660"/>
      <c r="T11" s="590" t="s">
        <v>765</v>
      </c>
      <c r="U11" s="366" t="s">
        <v>16</v>
      </c>
      <c r="V11" s="407" t="str">
        <f>IF(AND(ISNUMBER(V7), ISNUMBER(V8)), V7*V8, "")</f>
        <v/>
      </c>
      <c r="W11" s="369" t="s">
        <v>17</v>
      </c>
      <c r="X11" s="366" t="s">
        <v>247</v>
      </c>
      <c r="Y11" s="247"/>
      <c r="Z11" s="370" t="s">
        <v>249</v>
      </c>
      <c r="AA11" s="561"/>
      <c r="AB11" s="28"/>
      <c r="AC11" s="75"/>
      <c r="AD11" s="313"/>
      <c r="AE11" s="314"/>
      <c r="AF11" s="314"/>
      <c r="AG11" s="314"/>
      <c r="AH11" s="314"/>
      <c r="AI11" s="314"/>
      <c r="AJ11" s="315"/>
      <c r="AK11" s="28"/>
      <c r="AL11" s="562"/>
      <c r="AM11" s="352"/>
      <c r="AN11" s="352"/>
      <c r="AO11" s="352"/>
      <c r="AP11" s="352"/>
      <c r="AQ11" s="352"/>
      <c r="AR11" s="585"/>
    </row>
    <row r="12" spans="1:45" ht="15" customHeight="1" x14ac:dyDescent="0.3">
      <c r="B12" s="363"/>
      <c r="C12" s="363"/>
      <c r="D12" s="363"/>
      <c r="E12" s="363"/>
      <c r="F12" s="363"/>
      <c r="G12" s="363"/>
      <c r="H12" s="363"/>
      <c r="I12" s="363"/>
      <c r="J12" s="363"/>
      <c r="K12" s="363"/>
      <c r="L12" s="363"/>
      <c r="M12" s="363"/>
      <c r="O12" s="586"/>
      <c r="P12" s="314"/>
      <c r="Q12" s="342" t="s">
        <v>429</v>
      </c>
      <c r="R12" s="228"/>
      <c r="S12" s="314" t="s">
        <v>427</v>
      </c>
      <c r="T12" s="352"/>
      <c r="U12" s="366" t="s">
        <v>26</v>
      </c>
      <c r="V12" s="212" t="str">
        <f>IF(ISNUMBER(V9), V9, "")</f>
        <v/>
      </c>
      <c r="W12" s="367" t="s">
        <v>8</v>
      </c>
      <c r="X12" s="366" t="s">
        <v>248</v>
      </c>
      <c r="Y12" s="91" t="str">
        <f>IF(AND(ISNUMBER(Y10), ISNUMBER(Y11)), PI()*(Y10/2)^2*Y11, "")</f>
        <v/>
      </c>
      <c r="Z12" s="370" t="s">
        <v>250</v>
      </c>
      <c r="AA12" s="561"/>
      <c r="AB12" s="28"/>
      <c r="AC12" s="83"/>
      <c r="AD12" s="313"/>
      <c r="AE12" s="314"/>
      <c r="AF12" s="314"/>
      <c r="AG12" s="314"/>
      <c r="AH12" s="314"/>
      <c r="AI12" s="314"/>
      <c r="AJ12" s="315"/>
      <c r="AK12" s="28"/>
      <c r="AL12" s="562"/>
      <c r="AM12" s="352"/>
      <c r="AN12" s="352"/>
      <c r="AO12" s="352"/>
      <c r="AP12" s="352"/>
      <c r="AQ12" s="352"/>
      <c r="AR12" s="585"/>
    </row>
    <row r="13" spans="1:45" ht="15" customHeight="1" x14ac:dyDescent="0.3">
      <c r="B13" s="363"/>
      <c r="C13" s="363"/>
      <c r="D13" s="363"/>
      <c r="E13" s="363"/>
      <c r="F13" s="363"/>
      <c r="G13" s="363"/>
      <c r="H13" s="363"/>
      <c r="I13" s="363"/>
      <c r="J13" s="363"/>
      <c r="K13" s="363"/>
      <c r="L13" s="363"/>
      <c r="M13" s="363"/>
      <c r="O13" s="586"/>
      <c r="P13" s="355"/>
      <c r="Q13" s="591"/>
      <c r="R13" s="352"/>
      <c r="S13" s="563"/>
      <c r="T13" s="352"/>
      <c r="U13" s="366" t="s">
        <v>33</v>
      </c>
      <c r="V13" s="408" t="str">
        <f>IF(AND(ISNUMBER(V9), ISNUMBER(V10)), V9/V10, "")</f>
        <v/>
      </c>
      <c r="W13" s="367" t="s">
        <v>34</v>
      </c>
      <c r="X13" s="366"/>
      <c r="Y13" s="372"/>
      <c r="Z13" s="370"/>
      <c r="AA13" s="561"/>
      <c r="AB13" s="82"/>
      <c r="AC13" s="83"/>
      <c r="AD13" s="313"/>
      <c r="AE13" s="314"/>
      <c r="AF13" s="314"/>
      <c r="AG13" s="314"/>
      <c r="AH13" s="314"/>
      <c r="AI13" s="314"/>
      <c r="AJ13" s="315"/>
      <c r="AK13" s="28"/>
      <c r="AL13" s="562"/>
      <c r="AM13" s="352"/>
      <c r="AN13" s="352"/>
      <c r="AO13" s="352"/>
      <c r="AP13" s="352"/>
      <c r="AQ13" s="352"/>
      <c r="AR13" s="585"/>
    </row>
    <row r="14" spans="1:45" ht="15" customHeight="1" x14ac:dyDescent="0.3">
      <c r="B14" s="363"/>
      <c r="C14" s="363"/>
      <c r="D14" s="363"/>
      <c r="E14" s="363"/>
      <c r="F14" s="363"/>
      <c r="G14" s="363"/>
      <c r="H14" s="363"/>
      <c r="I14" s="363"/>
      <c r="J14" s="363"/>
      <c r="K14" s="363"/>
      <c r="L14" s="363"/>
      <c r="M14" s="363"/>
      <c r="N14" s="23"/>
      <c r="O14" s="586"/>
      <c r="P14" s="355"/>
      <c r="Q14" s="591"/>
      <c r="R14" s="352"/>
      <c r="S14" s="563"/>
      <c r="T14" s="352"/>
      <c r="U14" s="366"/>
      <c r="V14" s="608"/>
      <c r="W14" s="367"/>
      <c r="X14" s="366"/>
      <c r="Y14" s="372"/>
      <c r="Z14" s="370"/>
      <c r="AA14" s="561"/>
      <c r="AB14" s="82"/>
      <c r="AC14" s="83"/>
      <c r="AD14" s="313"/>
      <c r="AE14" s="314"/>
      <c r="AF14" s="314"/>
      <c r="AG14" s="314"/>
      <c r="AH14" s="314"/>
      <c r="AI14" s="314"/>
      <c r="AJ14" s="315"/>
      <c r="AK14" s="28"/>
      <c r="AL14" s="562"/>
      <c r="AM14" s="352"/>
      <c r="AN14" s="352"/>
      <c r="AO14" s="352"/>
      <c r="AP14" s="352"/>
      <c r="AQ14" s="352"/>
      <c r="AR14" s="585"/>
      <c r="AS14" s="23"/>
    </row>
    <row r="15" spans="1:45" ht="15" customHeight="1" x14ac:dyDescent="0.3">
      <c r="B15" s="363"/>
      <c r="C15" s="363"/>
      <c r="D15" s="363"/>
      <c r="E15" s="363"/>
      <c r="F15" s="363"/>
      <c r="G15" s="363"/>
      <c r="H15" s="363"/>
      <c r="I15" s="363"/>
      <c r="J15" s="363"/>
      <c r="K15" s="363"/>
      <c r="L15" s="363"/>
      <c r="M15" s="363"/>
      <c r="O15" s="586"/>
      <c r="P15" s="368"/>
      <c r="Q15" s="368"/>
      <c r="R15" s="368"/>
      <c r="S15" s="587" t="s">
        <v>245</v>
      </c>
      <c r="T15" s="628"/>
      <c r="U15" s="314"/>
      <c r="V15" s="314"/>
      <c r="W15" s="314"/>
      <c r="X15" s="368"/>
      <c r="Y15" s="368"/>
      <c r="Z15" s="368"/>
      <c r="AA15" s="585"/>
      <c r="AB15" s="71"/>
      <c r="AC15" s="83"/>
      <c r="AD15" s="313"/>
      <c r="AE15" s="397"/>
      <c r="AF15" s="584" t="s">
        <v>13</v>
      </c>
      <c r="AG15" s="368"/>
      <c r="AH15" s="368"/>
      <c r="AI15" s="368"/>
      <c r="AJ15" s="585"/>
      <c r="AK15" s="28"/>
      <c r="AL15" s="562"/>
      <c r="AM15" s="589" t="s">
        <v>14</v>
      </c>
      <c r="AN15" s="352"/>
      <c r="AO15" s="352"/>
      <c r="AP15" s="352"/>
      <c r="AQ15" s="352"/>
      <c r="AR15" s="585"/>
    </row>
    <row r="16" spans="1:45" ht="15" customHeight="1" x14ac:dyDescent="0.3">
      <c r="A16" s="29"/>
      <c r="B16" s="363"/>
      <c r="C16" s="363"/>
      <c r="D16" s="363"/>
      <c r="E16" s="363"/>
      <c r="F16" s="363"/>
      <c r="G16" s="363"/>
      <c r="H16" s="363"/>
      <c r="I16" s="363"/>
      <c r="J16" s="363"/>
      <c r="K16" s="363"/>
      <c r="L16" s="363"/>
      <c r="M16" s="363"/>
      <c r="O16" s="586"/>
      <c r="P16" s="373" t="s">
        <v>40</v>
      </c>
      <c r="Q16" s="373" t="s">
        <v>807</v>
      </c>
      <c r="R16" s="373" t="s">
        <v>40</v>
      </c>
      <c r="S16" s="373" t="s">
        <v>41</v>
      </c>
      <c r="T16" s="373" t="s">
        <v>42</v>
      </c>
      <c r="U16" s="373" t="s">
        <v>43</v>
      </c>
      <c r="V16" s="373" t="s">
        <v>44</v>
      </c>
      <c r="W16" s="373" t="s">
        <v>45</v>
      </c>
      <c r="X16" s="373" t="s">
        <v>45</v>
      </c>
      <c r="Y16" s="373" t="s">
        <v>45</v>
      </c>
      <c r="Z16" s="373" t="s">
        <v>45</v>
      </c>
      <c r="AA16" s="375"/>
      <c r="AB16" s="71"/>
      <c r="AC16" s="28"/>
      <c r="AD16" s="313"/>
      <c r="AE16" s="414"/>
      <c r="AF16" s="415" t="s">
        <v>18</v>
      </c>
      <c r="AG16" s="416">
        <v>1.2</v>
      </c>
      <c r="AH16" s="312" t="s">
        <v>800</v>
      </c>
      <c r="AI16" s="368"/>
      <c r="AJ16" s="585"/>
      <c r="AK16" s="86"/>
      <c r="AL16" s="562"/>
      <c r="AM16" s="352"/>
      <c r="AN16" s="352"/>
      <c r="AO16" s="342" t="s">
        <v>19</v>
      </c>
      <c r="AP16" s="429">
        <v>1</v>
      </c>
      <c r="AQ16" s="367" t="s">
        <v>20</v>
      </c>
      <c r="AR16" s="585"/>
    </row>
    <row r="17" spans="2:44" ht="15" customHeight="1" x14ac:dyDescent="0.3">
      <c r="B17" s="363"/>
      <c r="C17" s="363"/>
      <c r="D17" s="363"/>
      <c r="E17" s="363"/>
      <c r="F17" s="363"/>
      <c r="G17" s="363"/>
      <c r="H17" s="363"/>
      <c r="I17" s="363"/>
      <c r="J17" s="363"/>
      <c r="K17" s="363"/>
      <c r="L17" s="363"/>
      <c r="M17" s="363"/>
      <c r="O17" s="586"/>
      <c r="P17" s="375" t="s">
        <v>47</v>
      </c>
      <c r="Q17" s="375" t="s">
        <v>808</v>
      </c>
      <c r="R17" s="375" t="s">
        <v>15</v>
      </c>
      <c r="S17" s="375" t="s">
        <v>48</v>
      </c>
      <c r="T17" s="375" t="s">
        <v>49</v>
      </c>
      <c r="U17" s="375" t="s">
        <v>49</v>
      </c>
      <c r="V17" s="375" t="s">
        <v>50</v>
      </c>
      <c r="W17" s="375" t="s">
        <v>51</v>
      </c>
      <c r="X17" s="375" t="s">
        <v>52</v>
      </c>
      <c r="Y17" s="375" t="s">
        <v>53</v>
      </c>
      <c r="Z17" s="375" t="s">
        <v>156</v>
      </c>
      <c r="AA17" s="375"/>
      <c r="AB17" s="75"/>
      <c r="AC17" s="82"/>
      <c r="AD17" s="313"/>
      <c r="AE17" s="417"/>
      <c r="AF17" s="316" t="s">
        <v>798</v>
      </c>
      <c r="AG17" s="371" t="str">
        <f>IF(AND(ISNUMBER(AG18), ISNUMBER(V11)), AG18/V11, "")</f>
        <v/>
      </c>
      <c r="AH17" s="315" t="s">
        <v>799</v>
      </c>
      <c r="AI17" s="368"/>
      <c r="AJ17" s="585"/>
      <c r="AK17" s="86"/>
      <c r="AL17" s="562"/>
      <c r="AM17" s="395" t="s">
        <v>307</v>
      </c>
      <c r="AN17" s="396" t="s">
        <v>23</v>
      </c>
      <c r="AO17" s="396" t="s">
        <v>24</v>
      </c>
      <c r="AP17" s="396" t="s">
        <v>25</v>
      </c>
      <c r="AQ17" s="420" t="s">
        <v>25</v>
      </c>
      <c r="AR17" s="585"/>
    </row>
    <row r="18" spans="2:44" ht="15" customHeight="1" thickBot="1" x14ac:dyDescent="0.35">
      <c r="B18" s="363"/>
      <c r="C18" s="363"/>
      <c r="D18" s="363"/>
      <c r="E18" s="363"/>
      <c r="F18" s="363"/>
      <c r="G18" s="363"/>
      <c r="H18" s="363"/>
      <c r="I18" s="363"/>
      <c r="J18" s="363"/>
      <c r="K18" s="363"/>
      <c r="L18" s="363"/>
      <c r="M18" s="363"/>
      <c r="O18" s="586"/>
      <c r="P18" s="376"/>
      <c r="Q18" s="377" t="s">
        <v>56</v>
      </c>
      <c r="R18" s="377" t="s">
        <v>57</v>
      </c>
      <c r="S18" s="377"/>
      <c r="T18" s="377" t="s">
        <v>58</v>
      </c>
      <c r="U18" s="377" t="s">
        <v>58</v>
      </c>
      <c r="V18" s="377" t="s">
        <v>37</v>
      </c>
      <c r="W18" s="377" t="s">
        <v>37</v>
      </c>
      <c r="X18" s="377" t="s">
        <v>59</v>
      </c>
      <c r="Y18" s="377" t="s">
        <v>60</v>
      </c>
      <c r="Z18" s="377" t="s">
        <v>243</v>
      </c>
      <c r="AA18" s="592"/>
      <c r="AB18" s="75"/>
      <c r="AC18" s="82"/>
      <c r="AD18" s="313"/>
      <c r="AE18" s="417"/>
      <c r="AF18" s="418" t="s">
        <v>27</v>
      </c>
      <c r="AG18" s="419" t="str">
        <f>IF(AND(ISNUMBER(V12), ISNUMBER(AG16)), V12/AG16, "")</f>
        <v/>
      </c>
      <c r="AH18" s="326" t="s">
        <v>28</v>
      </c>
      <c r="AI18" s="368"/>
      <c r="AJ18" s="585"/>
      <c r="AK18" s="66"/>
      <c r="AL18" s="562"/>
      <c r="AM18" s="374" t="s">
        <v>308</v>
      </c>
      <c r="AN18" s="397" t="s">
        <v>29</v>
      </c>
      <c r="AO18" s="397" t="s">
        <v>30</v>
      </c>
      <c r="AP18" s="397" t="s">
        <v>31</v>
      </c>
      <c r="AQ18" s="421" t="s">
        <v>32</v>
      </c>
      <c r="AR18" s="585"/>
    </row>
    <row r="19" spans="2:44" ht="15" customHeight="1" thickTop="1" thickBot="1" x14ac:dyDescent="0.35">
      <c r="B19" s="363"/>
      <c r="C19" s="363"/>
      <c r="D19" s="363"/>
      <c r="E19" s="363"/>
      <c r="F19" s="363"/>
      <c r="G19" s="363"/>
      <c r="H19" s="363"/>
      <c r="I19" s="363"/>
      <c r="J19" s="363"/>
      <c r="K19" s="363"/>
      <c r="L19" s="363"/>
      <c r="M19" s="363"/>
      <c r="O19" s="378"/>
      <c r="P19" s="380" t="s">
        <v>63</v>
      </c>
      <c r="Q19" s="380">
        <v>0</v>
      </c>
      <c r="R19" s="381">
        <v>10</v>
      </c>
      <c r="S19" s="120" t="str">
        <f t="shared" ref="S19:S28" si="0">IF(ISNUMBER(R19), IF(ISNUMBER(U19), TEXT(U19,"ddd"), TEXT(T19, "ddd")), "")</f>
        <v/>
      </c>
      <c r="T19" s="121" t="str">
        <f>IF(AND(ISNUMBER(T15), ISNUMBER(Y5)), T15+R19/Y5,  "")</f>
        <v/>
      </c>
      <c r="U19" s="248"/>
      <c r="V19" s="249"/>
      <c r="W19" s="250"/>
      <c r="X19" s="250"/>
      <c r="Y19" s="251"/>
      <c r="Z19" s="251"/>
      <c r="AA19" s="592"/>
      <c r="AB19" s="84"/>
      <c r="AC19" s="71"/>
      <c r="AD19" s="313"/>
      <c r="AE19" s="417"/>
      <c r="AF19" s="415" t="s">
        <v>18</v>
      </c>
      <c r="AG19" s="416">
        <v>0.8</v>
      </c>
      <c r="AH19" s="312" t="s">
        <v>800</v>
      </c>
      <c r="AI19" s="368"/>
      <c r="AJ19" s="585"/>
      <c r="AK19" s="90"/>
      <c r="AL19" s="586"/>
      <c r="AM19" s="398" t="s">
        <v>35</v>
      </c>
      <c r="AN19" s="422" t="s">
        <v>36</v>
      </c>
      <c r="AO19" s="423" t="s">
        <v>37</v>
      </c>
      <c r="AP19" s="423" t="s">
        <v>38</v>
      </c>
      <c r="AQ19" s="424" t="s">
        <v>39</v>
      </c>
      <c r="AR19" s="585"/>
    </row>
    <row r="20" spans="2:44" ht="15" customHeight="1" thickTop="1" x14ac:dyDescent="0.3">
      <c r="B20" s="363"/>
      <c r="C20" s="363"/>
      <c r="D20" s="363"/>
      <c r="E20" s="363"/>
      <c r="F20" s="363"/>
      <c r="G20" s="363"/>
      <c r="H20" s="363"/>
      <c r="I20" s="363"/>
      <c r="J20" s="363"/>
      <c r="K20" s="363"/>
      <c r="L20" s="363"/>
      <c r="M20" s="363"/>
      <c r="O20" s="593"/>
      <c r="P20" s="382" t="s">
        <v>64</v>
      </c>
      <c r="Q20" s="383">
        <v>0.2</v>
      </c>
      <c r="R20" s="384" t="str">
        <f>IF(ISNUMBER(V11), Q20*V11-SUM(R19:R19), "")</f>
        <v/>
      </c>
      <c r="S20" s="122" t="str">
        <f t="shared" si="0"/>
        <v/>
      </c>
      <c r="T20" s="123" t="str">
        <f>IF(AND(ISNUMBER(R20),ISNUMBER(T19)), IF(ISNUMBER(U19),U19+R20/Y5,T19+R20/Y5), "")</f>
        <v/>
      </c>
      <c r="U20" s="629"/>
      <c r="V20" s="630"/>
      <c r="W20" s="631"/>
      <c r="X20" s="631"/>
      <c r="Y20" s="631"/>
      <c r="Z20" s="254"/>
      <c r="AA20" s="594"/>
      <c r="AB20" s="84"/>
      <c r="AC20" s="71"/>
      <c r="AD20" s="313"/>
      <c r="AE20" s="352"/>
      <c r="AF20" s="316" t="s">
        <v>798</v>
      </c>
      <c r="AG20" s="371" t="str">
        <f>IF(AND(ISNUMBER(AG21), ISNUMBER(V11)), AG21/V11, "")</f>
        <v/>
      </c>
      <c r="AH20" s="315" t="s">
        <v>799</v>
      </c>
      <c r="AI20" s="368"/>
      <c r="AJ20" s="585"/>
      <c r="AL20" s="586"/>
      <c r="AM20" s="430">
        <v>1</v>
      </c>
      <c r="AN20" s="425">
        <f>40.08+2*35.543+2*18</f>
        <v>147.166</v>
      </c>
      <c r="AO20" s="426">
        <f>IF(AND(ISNUMBER(AM20), ISNUMBER(AP16)), AM20*AP16*AN20/1000, "")</f>
        <v>0.14716599999999999</v>
      </c>
      <c r="AP20" s="427">
        <f>IF(ISNUMBER(AP16), 40.08*AP16, "")</f>
        <v>40.08</v>
      </c>
      <c r="AQ20" s="428">
        <f>IF(ISNUMBER(AP16), 2*35.543*AP16, "")</f>
        <v>71.085999999999999</v>
      </c>
      <c r="AR20" s="585"/>
    </row>
    <row r="21" spans="2:44" ht="15" customHeight="1" x14ac:dyDescent="0.3">
      <c r="B21" s="363"/>
      <c r="C21" s="363"/>
      <c r="D21" s="363"/>
      <c r="E21" s="363"/>
      <c r="F21" s="363"/>
      <c r="G21" s="363"/>
      <c r="H21" s="363"/>
      <c r="I21" s="363"/>
      <c r="J21" s="363"/>
      <c r="K21" s="363"/>
      <c r="L21" s="363"/>
      <c r="M21" s="363"/>
      <c r="O21" s="586"/>
      <c r="P21" s="382" t="s">
        <v>65</v>
      </c>
      <c r="Q21" s="383">
        <v>0.5</v>
      </c>
      <c r="R21" s="384" t="str">
        <f>IF(ISNUMBER(V11), Q21*V11-SUM(R19:R20), "")</f>
        <v/>
      </c>
      <c r="S21" s="122" t="str">
        <f t="shared" si="0"/>
        <v/>
      </c>
      <c r="T21" s="123" t="str">
        <f>IF(AND(ISNUMBER(R21),ISNUMBER(T20)), IF(ISNUMBER(U20),U20+R21/Y5,T20+R21/Y5), "")</f>
        <v/>
      </c>
      <c r="U21" s="629"/>
      <c r="V21" s="630"/>
      <c r="W21" s="631"/>
      <c r="X21" s="631"/>
      <c r="Y21" s="631"/>
      <c r="Z21" s="254"/>
      <c r="AA21" s="594"/>
      <c r="AB21" s="84"/>
      <c r="AC21" s="75"/>
      <c r="AD21" s="313"/>
      <c r="AE21" s="368"/>
      <c r="AF21" s="418" t="s">
        <v>27</v>
      </c>
      <c r="AG21" s="419" t="str">
        <f>IF(AND(ISNUMBER(V12), ISNUMBER(AG19)), V12/AG19, "")</f>
        <v/>
      </c>
      <c r="AH21" s="326" t="s">
        <v>28</v>
      </c>
      <c r="AI21" s="368"/>
      <c r="AJ21" s="585"/>
      <c r="AL21" s="586"/>
      <c r="AM21" s="368"/>
      <c r="AN21" s="368"/>
      <c r="AO21" s="368"/>
      <c r="AP21" s="368"/>
      <c r="AQ21" s="368"/>
      <c r="AR21" s="585"/>
    </row>
    <row r="22" spans="2:44" ht="15" customHeight="1" x14ac:dyDescent="0.3">
      <c r="B22" s="363"/>
      <c r="C22" s="363"/>
      <c r="D22" s="363"/>
      <c r="E22" s="363"/>
      <c r="F22" s="363"/>
      <c r="G22" s="363"/>
      <c r="H22" s="363"/>
      <c r="I22" s="363"/>
      <c r="J22" s="363"/>
      <c r="K22" s="363"/>
      <c r="L22" s="363"/>
      <c r="M22" s="363"/>
      <c r="O22" s="586"/>
      <c r="P22" s="382" t="s">
        <v>66</v>
      </c>
      <c r="Q22" s="383">
        <v>1</v>
      </c>
      <c r="R22" s="384" t="str">
        <f>IF(ISNUMBER(V11), Q22*V11-SUM(R19:R21), "")</f>
        <v/>
      </c>
      <c r="S22" s="122" t="str">
        <f t="shared" si="0"/>
        <v/>
      </c>
      <c r="T22" s="123" t="str">
        <f>IF(AND(ISNUMBER(R22),ISNUMBER(T21)), IF(ISNUMBER(U21),U21+R22/Y5,T21+R22/Y5), "")</f>
        <v/>
      </c>
      <c r="U22" s="629"/>
      <c r="V22" s="630"/>
      <c r="W22" s="631"/>
      <c r="X22" s="631"/>
      <c r="Y22" s="631"/>
      <c r="Z22" s="254"/>
      <c r="AA22" s="594"/>
      <c r="AB22" s="84"/>
      <c r="AC22" s="75"/>
      <c r="AD22" s="599"/>
      <c r="AE22" s="600"/>
      <c r="AF22" s="565"/>
      <c r="AG22" s="565"/>
      <c r="AH22" s="565"/>
      <c r="AI22" s="601"/>
      <c r="AJ22" s="602"/>
      <c r="AL22" s="205"/>
      <c r="AM22" s="206"/>
      <c r="AN22" s="206"/>
      <c r="AO22" s="206"/>
      <c r="AP22" s="206"/>
      <c r="AQ22" s="206"/>
      <c r="AR22" s="2"/>
    </row>
    <row r="23" spans="2:44" ht="15" customHeight="1" x14ac:dyDescent="0.3">
      <c r="B23" s="363"/>
      <c r="C23" s="363"/>
      <c r="D23" s="363"/>
      <c r="E23" s="363"/>
      <c r="F23" s="363"/>
      <c r="G23" s="363"/>
      <c r="H23" s="363"/>
      <c r="I23" s="363"/>
      <c r="J23" s="363"/>
      <c r="K23" s="363"/>
      <c r="L23" s="363"/>
      <c r="M23" s="363"/>
      <c r="O23" s="586"/>
      <c r="P23" s="382" t="s">
        <v>67</v>
      </c>
      <c r="Q23" s="383">
        <v>1.5</v>
      </c>
      <c r="R23" s="384" t="str">
        <f>IF(ISNUMBER(V11), Q23*V11-SUM(R19:R22), "")</f>
        <v/>
      </c>
      <c r="S23" s="122" t="str">
        <f t="shared" si="0"/>
        <v/>
      </c>
      <c r="T23" s="123" t="str">
        <f>IF(AND(ISNUMBER(R23),ISNUMBER(T22)), IF(ISNUMBER(U22),U22+R23/Y5,T22+R23/Y5), "")</f>
        <v/>
      </c>
      <c r="U23" s="629"/>
      <c r="V23" s="630"/>
      <c r="W23" s="631"/>
      <c r="X23" s="631"/>
      <c r="Y23" s="631"/>
      <c r="Z23" s="255"/>
      <c r="AA23" s="594"/>
      <c r="AB23" s="84"/>
      <c r="AC23" s="84"/>
      <c r="AD23" s="71"/>
    </row>
    <row r="24" spans="2:44" ht="15" customHeight="1" x14ac:dyDescent="0.3">
      <c r="B24" s="363"/>
      <c r="C24" s="363"/>
      <c r="D24" s="363"/>
      <c r="E24" s="363"/>
      <c r="F24" s="363"/>
      <c r="G24" s="363"/>
      <c r="H24" s="363"/>
      <c r="I24" s="363"/>
      <c r="J24" s="363"/>
      <c r="K24" s="363"/>
      <c r="L24" s="363"/>
      <c r="M24" s="363"/>
      <c r="O24" s="586"/>
      <c r="P24" s="382" t="s">
        <v>68</v>
      </c>
      <c r="Q24" s="383">
        <v>2</v>
      </c>
      <c r="R24" s="384" t="str">
        <f>IF(ISNUMBER(V11), Q24*V11-SUM(R19:R23), "")</f>
        <v/>
      </c>
      <c r="S24" s="122" t="str">
        <f t="shared" si="0"/>
        <v/>
      </c>
      <c r="T24" s="123" t="str">
        <f>IF(AND(ISNUMBER(R24),ISNUMBER(T23)), IF(ISNUMBER(U23),U23+R24/Y5,T23+R24/Y5), "")</f>
        <v/>
      </c>
      <c r="U24" s="629"/>
      <c r="V24" s="630"/>
      <c r="W24" s="631"/>
      <c r="X24" s="631"/>
      <c r="Y24" s="631"/>
      <c r="Z24" s="255"/>
      <c r="AA24" s="594"/>
      <c r="AB24" s="84"/>
      <c r="AC24" s="84"/>
      <c r="AR24" s="71"/>
    </row>
    <row r="25" spans="2:44" ht="15" customHeight="1" x14ac:dyDescent="0.3">
      <c r="B25" s="363"/>
      <c r="C25" s="363"/>
      <c r="D25" s="363"/>
      <c r="E25" s="363"/>
      <c r="F25" s="363"/>
      <c r="G25" s="363"/>
      <c r="H25" s="363"/>
      <c r="I25" s="363"/>
      <c r="J25" s="363"/>
      <c r="K25" s="363"/>
      <c r="L25" s="363"/>
      <c r="M25" s="363"/>
      <c r="O25" s="586"/>
      <c r="P25" s="382" t="s">
        <v>69</v>
      </c>
      <c r="Q25" s="383">
        <v>4.5</v>
      </c>
      <c r="R25" s="384" t="str">
        <f>IF(ISNUMBER(V11), Q25*V11-SUM(R19:R24), "")</f>
        <v/>
      </c>
      <c r="S25" s="122" t="str">
        <f t="shared" si="0"/>
        <v/>
      </c>
      <c r="T25" s="123" t="str">
        <f>IF(AND(ISNUMBER(R25),ISNUMBER(T24)), IF(ISNUMBER(U24),U24+R25/Y5,T24+R25/Y5), "")</f>
        <v/>
      </c>
      <c r="U25" s="629"/>
      <c r="V25" s="630"/>
      <c r="W25" s="631"/>
      <c r="X25" s="631"/>
      <c r="Y25" s="631"/>
      <c r="Z25" s="255"/>
      <c r="AA25" s="594"/>
      <c r="AB25" s="84"/>
      <c r="AC25" s="84"/>
      <c r="AR25" s="71"/>
    </row>
    <row r="26" spans="2:44" ht="15" customHeight="1" x14ac:dyDescent="0.3">
      <c r="B26" s="363"/>
      <c r="C26" s="363"/>
      <c r="D26" s="363"/>
      <c r="E26" s="363"/>
      <c r="F26" s="363"/>
      <c r="G26" s="363"/>
      <c r="H26" s="363"/>
      <c r="I26" s="363"/>
      <c r="J26" s="363"/>
      <c r="K26" s="363"/>
      <c r="L26" s="363"/>
      <c r="M26" s="363"/>
      <c r="O26" s="586"/>
      <c r="P26" s="382" t="s">
        <v>70</v>
      </c>
      <c r="Q26" s="383">
        <v>5</v>
      </c>
      <c r="R26" s="384" t="str">
        <f>IF(ISNUMBER(V11), Q26*V11-SUM(R19:R25), "")</f>
        <v/>
      </c>
      <c r="S26" s="122" t="str">
        <f t="shared" si="0"/>
        <v/>
      </c>
      <c r="T26" s="123" t="str">
        <f>IF(AND(ISNUMBER(R26),ISNUMBER(T25)), IF(ISNUMBER(U25),U25+R26/Y5,T25+R26/Y5), "")</f>
        <v/>
      </c>
      <c r="U26" s="629"/>
      <c r="V26" s="630"/>
      <c r="W26" s="631"/>
      <c r="X26" s="631"/>
      <c r="Y26" s="631"/>
      <c r="Z26" s="255"/>
      <c r="AA26" s="594"/>
      <c r="AB26" s="84"/>
      <c r="AC26" s="84"/>
      <c r="AR26" s="87"/>
    </row>
    <row r="27" spans="2:44" ht="15" customHeight="1" x14ac:dyDescent="0.3">
      <c r="B27" s="363"/>
      <c r="C27" s="363"/>
      <c r="D27" s="363"/>
      <c r="E27" s="363"/>
      <c r="F27" s="363"/>
      <c r="G27" s="363"/>
      <c r="H27" s="363"/>
      <c r="I27" s="363"/>
      <c r="J27" s="363"/>
      <c r="K27" s="363"/>
      <c r="L27" s="363"/>
      <c r="M27" s="363"/>
      <c r="O27" s="378"/>
      <c r="P27" s="382" t="s">
        <v>71</v>
      </c>
      <c r="Q27" s="383">
        <v>9.5</v>
      </c>
      <c r="R27" s="384" t="str">
        <f>IF(ISNUMBER(V11), Q27*V11-SUM(R19:R26), "")</f>
        <v/>
      </c>
      <c r="S27" s="122" t="str">
        <f t="shared" si="0"/>
        <v/>
      </c>
      <c r="T27" s="123" t="str">
        <f>IF(AND(ISNUMBER(R27),ISNUMBER(T26)), IF(ISNUMBER(U26),U26+R27/Y5,T26+R27/Y5), "")</f>
        <v/>
      </c>
      <c r="U27" s="629"/>
      <c r="V27" s="630"/>
      <c r="W27" s="631"/>
      <c r="X27" s="631"/>
      <c r="Y27" s="631"/>
      <c r="Z27" s="255"/>
      <c r="AA27" s="594"/>
      <c r="AB27" s="84"/>
      <c r="AC27" s="84"/>
      <c r="AR27" s="87"/>
    </row>
    <row r="28" spans="2:44" ht="15" customHeight="1" x14ac:dyDescent="0.3">
      <c r="B28" s="363"/>
      <c r="C28" s="363"/>
      <c r="D28" s="363"/>
      <c r="E28" s="363"/>
      <c r="F28" s="363"/>
      <c r="G28" s="363"/>
      <c r="H28" s="363"/>
      <c r="I28" s="363"/>
      <c r="J28" s="363"/>
      <c r="K28" s="363"/>
      <c r="L28" s="363"/>
      <c r="M28" s="363"/>
      <c r="O28" s="586"/>
      <c r="P28" s="385" t="s">
        <v>72</v>
      </c>
      <c r="Q28" s="386">
        <v>10</v>
      </c>
      <c r="R28" s="387" t="str">
        <f>IF(ISNUMBER(V11), Q28*V11-SUM(R19:R27), "")</f>
        <v/>
      </c>
      <c r="S28" s="124" t="str">
        <f t="shared" si="0"/>
        <v/>
      </c>
      <c r="T28" s="125" t="str">
        <f>IF(AND(ISNUMBER(R28),ISNUMBER(T27)), IF(ISNUMBER(U27),U27+R28/Y5,T27+R28/Y5), "")</f>
        <v/>
      </c>
      <c r="U28" s="633"/>
      <c r="V28" s="634"/>
      <c r="W28" s="635"/>
      <c r="X28" s="635"/>
      <c r="Y28" s="635"/>
      <c r="Z28" s="259"/>
      <c r="AA28" s="594"/>
      <c r="AB28" s="85"/>
      <c r="AC28" s="84"/>
      <c r="AR28" s="88"/>
    </row>
    <row r="29" spans="2:44" ht="15" customHeight="1" x14ac:dyDescent="0.3">
      <c r="B29" s="363"/>
      <c r="C29" s="363"/>
      <c r="D29" s="363"/>
      <c r="E29" s="363"/>
      <c r="F29" s="363"/>
      <c r="G29" s="363"/>
      <c r="H29" s="363"/>
      <c r="I29" s="363"/>
      <c r="J29" s="363"/>
      <c r="K29" s="363"/>
      <c r="L29" s="363"/>
      <c r="M29" s="363"/>
      <c r="O29" s="586"/>
      <c r="P29" s="388"/>
      <c r="Q29" s="389"/>
      <c r="R29" s="389"/>
      <c r="S29" s="390"/>
      <c r="T29" s="390"/>
      <c r="U29" s="391"/>
      <c r="V29" s="392"/>
      <c r="W29" s="392"/>
      <c r="X29" s="393"/>
      <c r="Y29" s="393"/>
      <c r="Z29" s="393"/>
      <c r="AA29" s="595"/>
      <c r="AC29" s="84"/>
      <c r="AR29" s="88"/>
    </row>
    <row r="30" spans="2:44" ht="15" customHeight="1" x14ac:dyDescent="0.3">
      <c r="B30" s="363"/>
      <c r="C30" s="363"/>
      <c r="D30" s="363"/>
      <c r="E30" s="363"/>
      <c r="F30" s="363"/>
      <c r="G30" s="363"/>
      <c r="H30" s="363"/>
      <c r="I30" s="363"/>
      <c r="J30" s="363"/>
      <c r="K30" s="363"/>
      <c r="L30" s="363"/>
      <c r="M30" s="363"/>
      <c r="O30" s="313"/>
      <c r="P30" s="395" t="str">
        <f>P16</f>
        <v>Fraction</v>
      </c>
      <c r="Q30" s="373" t="s">
        <v>24</v>
      </c>
      <c r="R30" s="373" t="s">
        <v>804</v>
      </c>
      <c r="S30" s="373" t="s">
        <v>46</v>
      </c>
      <c r="T30" s="395"/>
      <c r="U30" s="396"/>
      <c r="V30" s="396"/>
      <c r="W30" s="396"/>
      <c r="X30" s="396"/>
      <c r="Y30" s="396"/>
      <c r="Z30" s="373" t="s">
        <v>45</v>
      </c>
      <c r="AA30" s="315"/>
      <c r="AC30" s="84"/>
      <c r="AR30" s="89"/>
    </row>
    <row r="31" spans="2:44" ht="15" customHeight="1" x14ac:dyDescent="0.3">
      <c r="B31" s="363"/>
      <c r="C31" s="364"/>
      <c r="D31" s="364"/>
      <c r="E31" s="364"/>
      <c r="F31" s="364"/>
      <c r="G31" s="364"/>
      <c r="H31" s="364"/>
      <c r="I31" s="364"/>
      <c r="J31" s="364"/>
      <c r="K31" s="364"/>
      <c r="L31" s="364"/>
      <c r="M31" s="363"/>
      <c r="O31" s="313"/>
      <c r="P31" s="374" t="str">
        <f>P17</f>
        <v>Label</v>
      </c>
      <c r="Q31" s="375" t="s">
        <v>54</v>
      </c>
      <c r="R31" s="375" t="s">
        <v>805</v>
      </c>
      <c r="S31" s="375" t="s">
        <v>313</v>
      </c>
      <c r="T31" s="374"/>
      <c r="U31" s="397"/>
      <c r="V31" s="397"/>
      <c r="W31" s="397"/>
      <c r="X31" s="397"/>
      <c r="Y31" s="397"/>
      <c r="Z31" s="375" t="s">
        <v>54</v>
      </c>
      <c r="AA31" s="315"/>
      <c r="AC31" s="84"/>
      <c r="AR31" s="89"/>
    </row>
    <row r="32" spans="2:44" ht="15" customHeight="1" thickBot="1" x14ac:dyDescent="0.35">
      <c r="B32" s="363"/>
      <c r="C32" s="363"/>
      <c r="D32" s="363"/>
      <c r="E32" s="363"/>
      <c r="F32" s="363"/>
      <c r="G32" s="363"/>
      <c r="H32" s="363"/>
      <c r="I32" s="363"/>
      <c r="J32" s="363"/>
      <c r="K32" s="363"/>
      <c r="L32" s="363"/>
      <c r="M32" s="363"/>
      <c r="O32" s="313"/>
      <c r="P32" s="398"/>
      <c r="Q32" s="377" t="s">
        <v>37</v>
      </c>
      <c r="R32" s="377" t="s">
        <v>56</v>
      </c>
      <c r="S32" s="377" t="s">
        <v>803</v>
      </c>
      <c r="T32" s="399" t="s">
        <v>314</v>
      </c>
      <c r="U32" s="400"/>
      <c r="V32" s="400"/>
      <c r="W32" s="400"/>
      <c r="X32" s="400"/>
      <c r="Y32" s="400"/>
      <c r="Z32" s="376" t="s">
        <v>61</v>
      </c>
      <c r="AA32" s="315"/>
      <c r="AC32" s="85"/>
      <c r="AR32" s="88"/>
    </row>
    <row r="33" spans="1:44" ht="15" customHeight="1" thickTop="1" x14ac:dyDescent="0.3">
      <c r="B33" s="363"/>
      <c r="C33" s="363"/>
      <c r="D33" s="363"/>
      <c r="E33" s="363"/>
      <c r="F33" s="363"/>
      <c r="G33" s="363"/>
      <c r="H33" s="363"/>
      <c r="I33" s="363"/>
      <c r="J33" s="363"/>
      <c r="K33" s="363"/>
      <c r="L33" s="363"/>
      <c r="M33" s="363"/>
      <c r="O33" s="313"/>
      <c r="P33" s="401" t="str">
        <f t="shared" ref="P33:P42" si="1">P19</f>
        <v>-</v>
      </c>
      <c r="Q33" s="402" t="str">
        <f t="shared" ref="Q33:Q42" si="2">IF(ISNUMBER(W19), W19-V19, "")</f>
        <v/>
      </c>
      <c r="R33" s="612"/>
      <c r="S33" s="451" t="s">
        <v>63</v>
      </c>
      <c r="T33" s="640" t="s">
        <v>806</v>
      </c>
      <c r="U33" s="596"/>
      <c r="V33" s="260"/>
      <c r="W33" s="260"/>
      <c r="X33" s="260"/>
      <c r="Y33" s="260"/>
      <c r="Z33" s="261"/>
      <c r="AA33" s="315"/>
      <c r="AR33" s="88"/>
    </row>
    <row r="34" spans="1:44" ht="15" customHeight="1" x14ac:dyDescent="0.3">
      <c r="B34" s="363"/>
      <c r="C34" s="363"/>
      <c r="D34" s="363"/>
      <c r="E34" s="363"/>
      <c r="F34" s="363"/>
      <c r="G34" s="363"/>
      <c r="H34" s="363"/>
      <c r="I34" s="363"/>
      <c r="J34" s="363"/>
      <c r="K34" s="363"/>
      <c r="L34" s="363"/>
      <c r="M34" s="363"/>
      <c r="O34" s="313"/>
      <c r="P34" s="403" t="str">
        <f t="shared" si="1"/>
        <v>T01</v>
      </c>
      <c r="Q34" s="383" t="str">
        <f t="shared" si="2"/>
        <v/>
      </c>
      <c r="R34" s="613" t="str">
        <f>IF(ISNUMBER(Q34), SUM(Q33:Q34)/V11, "")</f>
        <v/>
      </c>
      <c r="S34" s="452" t="str">
        <f>IF(AND(ISNUMBER(U20), ISNUMBER(Q34)), SUM(Q34:Q34)/(U20-T15), "")</f>
        <v/>
      </c>
      <c r="T34" s="641"/>
      <c r="U34" s="263"/>
      <c r="V34" s="263"/>
      <c r="W34" s="263"/>
      <c r="X34" s="263"/>
      <c r="Y34" s="263"/>
      <c r="Z34" s="264"/>
      <c r="AA34" s="315"/>
      <c r="AR34" s="88"/>
    </row>
    <row r="35" spans="1:44" ht="15" customHeight="1" x14ac:dyDescent="0.3">
      <c r="B35" s="363"/>
      <c r="C35" s="363"/>
      <c r="D35" s="363"/>
      <c r="E35" s="363"/>
      <c r="F35" s="363"/>
      <c r="G35" s="363"/>
      <c r="H35" s="363"/>
      <c r="I35" s="363"/>
      <c r="J35" s="363"/>
      <c r="K35" s="363"/>
      <c r="L35" s="363"/>
      <c r="M35" s="363"/>
      <c r="O35" s="313"/>
      <c r="P35" s="403" t="str">
        <f t="shared" si="1"/>
        <v>T02</v>
      </c>
      <c r="Q35" s="383" t="str">
        <f t="shared" si="2"/>
        <v/>
      </c>
      <c r="R35" s="613" t="str">
        <f>IF(ISNUMBER(Q35), SUM(Q33:Q35)/V11, "")</f>
        <v/>
      </c>
      <c r="S35" s="452" t="str">
        <f>IF(AND(ISNUMBER(U21), ISNUMBER(Q35)), SUM(Q35:Q35)/(U21-U20), "")</f>
        <v/>
      </c>
      <c r="T35" s="642"/>
      <c r="U35" s="265"/>
      <c r="V35" s="265"/>
      <c r="W35" s="265"/>
      <c r="X35" s="265"/>
      <c r="Y35" s="265"/>
      <c r="Z35" s="264"/>
      <c r="AA35" s="315"/>
      <c r="AR35" s="88"/>
    </row>
    <row r="36" spans="1:44" ht="15" customHeight="1" x14ac:dyDescent="0.3">
      <c r="B36" s="363"/>
      <c r="C36" s="363"/>
      <c r="D36" s="363"/>
      <c r="E36" s="363"/>
      <c r="F36" s="363"/>
      <c r="G36" s="363"/>
      <c r="H36" s="363"/>
      <c r="I36" s="363"/>
      <c r="J36" s="363"/>
      <c r="K36" s="363"/>
      <c r="L36" s="363"/>
      <c r="M36" s="363"/>
      <c r="O36" s="313"/>
      <c r="P36" s="403" t="str">
        <f t="shared" si="1"/>
        <v>T03</v>
      </c>
      <c r="Q36" s="383" t="str">
        <f t="shared" si="2"/>
        <v/>
      </c>
      <c r="R36" s="613" t="str">
        <f>IF(ISNUMBER(Q36), SUM(Q33:Q36)/V11, "")</f>
        <v/>
      </c>
      <c r="S36" s="452" t="str">
        <f t="shared" ref="S36:S42" si="3">IF(AND(ISNUMBER(U22), ISNUMBER(Q36)), SUM(Q36:Q36)/(U22-U21), "")</f>
        <v/>
      </c>
      <c r="T36" s="641"/>
      <c r="U36" s="265"/>
      <c r="V36" s="265"/>
      <c r="W36" s="265"/>
      <c r="X36" s="265"/>
      <c r="Y36" s="265"/>
      <c r="Z36" s="264"/>
      <c r="AA36" s="315"/>
    </row>
    <row r="37" spans="1:44" ht="15" customHeight="1" x14ac:dyDescent="0.3">
      <c r="B37" s="363"/>
      <c r="C37" s="363"/>
      <c r="D37" s="363"/>
      <c r="E37" s="363"/>
      <c r="F37" s="363"/>
      <c r="G37" s="363"/>
      <c r="H37" s="363"/>
      <c r="I37" s="363"/>
      <c r="J37" s="363"/>
      <c r="K37" s="363"/>
      <c r="L37" s="363"/>
      <c r="M37" s="363"/>
      <c r="O37" s="313"/>
      <c r="P37" s="403" t="str">
        <f t="shared" si="1"/>
        <v>T04</v>
      </c>
      <c r="Q37" s="383" t="str">
        <f t="shared" si="2"/>
        <v/>
      </c>
      <c r="R37" s="613" t="str">
        <f>IF(ISNUMBER(Q37), SUM(Q33:Q37)/V11, "")</f>
        <v/>
      </c>
      <c r="S37" s="452" t="str">
        <f t="shared" si="3"/>
        <v/>
      </c>
      <c r="T37" s="643"/>
      <c r="U37" s="267"/>
      <c r="V37" s="267"/>
      <c r="W37" s="267"/>
      <c r="X37" s="267"/>
      <c r="Y37" s="267"/>
      <c r="Z37" s="264"/>
      <c r="AA37" s="315"/>
    </row>
    <row r="38" spans="1:44" ht="15" customHeight="1" x14ac:dyDescent="0.3">
      <c r="B38" s="363"/>
      <c r="C38" s="363"/>
      <c r="D38" s="363"/>
      <c r="E38" s="363"/>
      <c r="F38" s="363"/>
      <c r="G38" s="363"/>
      <c r="H38" s="363"/>
      <c r="I38" s="363"/>
      <c r="J38" s="363"/>
      <c r="K38" s="363"/>
      <c r="L38" s="363"/>
      <c r="M38" s="363"/>
      <c r="O38" s="313"/>
      <c r="P38" s="403" t="str">
        <f t="shared" si="1"/>
        <v>T05</v>
      </c>
      <c r="Q38" s="383" t="str">
        <f t="shared" si="2"/>
        <v/>
      </c>
      <c r="R38" s="613" t="str">
        <f>IF(ISNUMBER(Q38), SUM(Q33:Q38)/V11, "")</f>
        <v/>
      </c>
      <c r="S38" s="452" t="str">
        <f t="shared" si="3"/>
        <v/>
      </c>
      <c r="T38" s="641"/>
      <c r="U38" s="267"/>
      <c r="V38" s="267"/>
      <c r="W38" s="267"/>
      <c r="X38" s="267"/>
      <c r="Y38" s="267"/>
      <c r="Z38" s="264"/>
      <c r="AA38" s="315"/>
      <c r="AD38" s="82"/>
      <c r="AE38" s="82"/>
      <c r="AF38" s="82"/>
      <c r="AG38" s="82"/>
      <c r="AH38" s="82"/>
      <c r="AI38" s="82"/>
      <c r="AJ38" s="82"/>
    </row>
    <row r="39" spans="1:44" ht="15" customHeight="1" x14ac:dyDescent="0.3">
      <c r="O39" s="313"/>
      <c r="P39" s="403" t="str">
        <f t="shared" si="1"/>
        <v>T06</v>
      </c>
      <c r="Q39" s="383" t="str">
        <f t="shared" si="2"/>
        <v/>
      </c>
      <c r="R39" s="613" t="str">
        <f>IF(ISNUMBER(Q39), SUM(Q33:Q39)/V11, "")</f>
        <v/>
      </c>
      <c r="S39" s="452" t="str">
        <f t="shared" si="3"/>
        <v/>
      </c>
      <c r="T39" s="641"/>
      <c r="U39" s="265"/>
      <c r="V39" s="265"/>
      <c r="W39" s="265"/>
      <c r="X39" s="265"/>
      <c r="Y39" s="265"/>
      <c r="Z39" s="264"/>
      <c r="AA39" s="315"/>
      <c r="AE39" s="29"/>
      <c r="AF39" s="29"/>
      <c r="AG39" s="29"/>
      <c r="AH39" s="29"/>
      <c r="AI39" s="29"/>
      <c r="AJ39" s="71"/>
    </row>
    <row r="40" spans="1:44" ht="15" customHeight="1" x14ac:dyDescent="0.3">
      <c r="O40" s="313"/>
      <c r="P40" s="403" t="str">
        <f t="shared" si="1"/>
        <v>T07</v>
      </c>
      <c r="Q40" s="383" t="str">
        <f t="shared" si="2"/>
        <v/>
      </c>
      <c r="R40" s="613" t="str">
        <f>IF(ISNUMBER(Q40), SUM(Q33:Q40)/V11, "")</f>
        <v/>
      </c>
      <c r="S40" s="452" t="str">
        <f t="shared" si="3"/>
        <v/>
      </c>
      <c r="T40" s="641"/>
      <c r="U40" s="265"/>
      <c r="V40" s="265"/>
      <c r="W40" s="265"/>
      <c r="X40" s="265"/>
      <c r="Y40" s="265"/>
      <c r="Z40" s="264"/>
      <c r="AA40" s="315"/>
    </row>
    <row r="41" spans="1:44" ht="15" customHeight="1" x14ac:dyDescent="0.3">
      <c r="A41" s="11"/>
      <c r="O41" s="313"/>
      <c r="P41" s="403" t="str">
        <f t="shared" si="1"/>
        <v>T08</v>
      </c>
      <c r="Q41" s="383" t="str">
        <f t="shared" si="2"/>
        <v/>
      </c>
      <c r="R41" s="613" t="str">
        <f>IF(ISNUMBER(Q41), SUM(Q33:Q41)/V11, "")</f>
        <v/>
      </c>
      <c r="S41" s="452" t="str">
        <f t="shared" si="3"/>
        <v/>
      </c>
      <c r="T41" s="641"/>
      <c r="U41" s="265"/>
      <c r="V41" s="265"/>
      <c r="W41" s="265"/>
      <c r="X41" s="265"/>
      <c r="Y41" s="265"/>
      <c r="Z41" s="264"/>
      <c r="AA41" s="315"/>
    </row>
    <row r="42" spans="1:44" ht="15" customHeight="1" x14ac:dyDescent="0.3">
      <c r="B42" s="11"/>
      <c r="C42" s="11"/>
      <c r="D42" s="11"/>
      <c r="E42" s="11"/>
      <c r="F42" s="11"/>
      <c r="G42" s="11"/>
      <c r="H42" s="11"/>
      <c r="I42" s="11"/>
      <c r="J42" s="11"/>
      <c r="K42" s="11"/>
      <c r="L42" s="11"/>
      <c r="M42" s="11"/>
      <c r="O42" s="313"/>
      <c r="P42" s="404" t="str">
        <f t="shared" si="1"/>
        <v>T09</v>
      </c>
      <c r="Q42" s="386" t="str">
        <f t="shared" si="2"/>
        <v/>
      </c>
      <c r="R42" s="614" t="str">
        <f>IF(ISNUMBER(Q42), SUM(Q33:Q42)/V11, "")</f>
        <v/>
      </c>
      <c r="S42" s="453" t="str">
        <f t="shared" si="3"/>
        <v/>
      </c>
      <c r="T42" s="644"/>
      <c r="U42" s="269"/>
      <c r="V42" s="269"/>
      <c r="W42" s="269"/>
      <c r="X42" s="269"/>
      <c r="Y42" s="269"/>
      <c r="Z42" s="264"/>
      <c r="AA42" s="315"/>
      <c r="AB42" s="82"/>
      <c r="AC42" s="82"/>
      <c r="AE42" s="29"/>
    </row>
    <row r="43" spans="1:44" ht="15" customHeight="1" x14ac:dyDescent="0.3">
      <c r="N43" s="11"/>
      <c r="O43" s="313"/>
      <c r="P43" s="394"/>
      <c r="Q43" s="394"/>
      <c r="R43" s="607" t="s">
        <v>802</v>
      </c>
      <c r="S43" s="638" t="str">
        <f>IF(ISNUMBER(AVERAGE(S34:S42)), AVERAGE(S34:S42), "")</f>
        <v/>
      </c>
      <c r="T43" s="314"/>
      <c r="U43" s="405"/>
      <c r="V43" s="368"/>
      <c r="W43" s="368"/>
      <c r="X43" s="368"/>
      <c r="Y43" s="368"/>
      <c r="Z43" s="368"/>
      <c r="AA43" s="585"/>
    </row>
    <row r="44" spans="1:44" ht="15" customHeight="1" x14ac:dyDescent="0.3">
      <c r="O44" s="324"/>
      <c r="P44" s="325"/>
      <c r="Q44" s="206" t="s">
        <v>461</v>
      </c>
      <c r="R44" s="325"/>
      <c r="S44" s="325"/>
      <c r="T44" s="325"/>
      <c r="U44" s="325"/>
      <c r="V44" s="325"/>
      <c r="W44" s="325"/>
      <c r="X44" s="325"/>
      <c r="Y44" s="325"/>
      <c r="Z44" s="325"/>
      <c r="AA44" s="326"/>
    </row>
    <row r="45" spans="1:44" ht="18" x14ac:dyDescent="0.35">
      <c r="AB45" s="14"/>
    </row>
    <row r="46" spans="1:44" ht="18" x14ac:dyDescent="0.35">
      <c r="N46" s="714" t="s">
        <v>776</v>
      </c>
      <c r="O46" s="715"/>
      <c r="P46" s="715"/>
      <c r="Q46" s="715"/>
      <c r="R46" s="715"/>
      <c r="S46" s="715"/>
      <c r="T46" s="715"/>
      <c r="U46" s="715"/>
      <c r="V46" s="715"/>
      <c r="W46" s="715"/>
      <c r="X46" s="715"/>
      <c r="Y46" s="715"/>
      <c r="Z46" s="715"/>
      <c r="AA46" s="715"/>
      <c r="AB46" s="716"/>
    </row>
    <row r="47" spans="1:44" x14ac:dyDescent="0.3">
      <c r="O47" s="23"/>
      <c r="P47" s="23"/>
      <c r="Q47" s="23"/>
      <c r="R47" s="23"/>
      <c r="S47" s="23"/>
      <c r="T47" s="23"/>
      <c r="U47" s="23"/>
      <c r="V47" s="23"/>
      <c r="W47" s="23"/>
      <c r="X47" s="23"/>
      <c r="Y47" s="23"/>
      <c r="Z47" s="23"/>
      <c r="AA47" s="23"/>
      <c r="AB47" s="82"/>
      <c r="AC47" s="86"/>
    </row>
    <row r="48" spans="1:44" ht="15" customHeight="1" x14ac:dyDescent="0.3">
      <c r="O48" s="579" t="s">
        <v>784</v>
      </c>
      <c r="P48" s="580"/>
      <c r="Q48" s="581"/>
      <c r="R48" s="581"/>
      <c r="S48" s="557"/>
      <c r="T48" s="581"/>
      <c r="U48" s="581"/>
      <c r="V48" s="581"/>
      <c r="W48" s="581"/>
      <c r="X48" s="581"/>
      <c r="Y48" s="581"/>
      <c r="Z48" s="556"/>
      <c r="AA48" s="582"/>
      <c r="AB48" s="82"/>
    </row>
    <row r="49" spans="1:30" ht="15" customHeight="1" x14ac:dyDescent="0.3">
      <c r="O49" s="583"/>
      <c r="P49" s="560"/>
      <c r="Q49" s="368"/>
      <c r="R49" s="368"/>
      <c r="S49" s="368"/>
      <c r="T49" s="368"/>
      <c r="U49" s="368"/>
      <c r="V49" s="604" t="s">
        <v>2</v>
      </c>
      <c r="W49" s="352"/>
      <c r="X49" s="605" t="s">
        <v>22</v>
      </c>
      <c r="Y49" s="368"/>
      <c r="Z49" s="368"/>
      <c r="AA49" s="585"/>
      <c r="AB49" s="28"/>
    </row>
    <row r="50" spans="1:30" ht="15" customHeight="1" x14ac:dyDescent="0.3">
      <c r="O50" s="586"/>
      <c r="P50" s="368"/>
      <c r="Q50" s="368"/>
      <c r="R50" s="412" t="s">
        <v>0</v>
      </c>
      <c r="S50" s="563"/>
      <c r="T50" s="352"/>
      <c r="U50" s="587" t="s">
        <v>788</v>
      </c>
      <c r="V50" s="241"/>
      <c r="W50" s="314" t="s">
        <v>789</v>
      </c>
      <c r="X50" s="342" t="s">
        <v>27</v>
      </c>
      <c r="Y50" s="245"/>
      <c r="Z50" s="314" t="s">
        <v>801</v>
      </c>
      <c r="AA50" s="561"/>
      <c r="AD50" s="86"/>
    </row>
    <row r="51" spans="1:30" ht="15" customHeight="1" x14ac:dyDescent="0.3">
      <c r="O51" s="586"/>
      <c r="P51" s="368"/>
      <c r="Q51" s="597" t="s">
        <v>1</v>
      </c>
      <c r="R51" s="101" t="str">
        <f>IF(ISBLANK('Title Sheet'!C$8), "", 'Title Sheet'!C$8)</f>
        <v/>
      </c>
      <c r="S51" s="314"/>
      <c r="T51" s="368"/>
      <c r="U51" s="366" t="s">
        <v>4</v>
      </c>
      <c r="V51" s="242"/>
      <c r="W51" s="367" t="s">
        <v>5</v>
      </c>
      <c r="X51" s="342" t="s">
        <v>798</v>
      </c>
      <c r="Y51" s="409" t="str">
        <f>IF(AND(ISNUMBER(Y50), ISNUMBER(V56)), Y50/V56, "")</f>
        <v/>
      </c>
      <c r="Z51" s="314" t="s">
        <v>799</v>
      </c>
      <c r="AA51" s="315"/>
    </row>
    <row r="52" spans="1:30" ht="15" customHeight="1" x14ac:dyDescent="0.3">
      <c r="O52" s="586"/>
      <c r="P52" s="368"/>
      <c r="Q52" s="597" t="s">
        <v>3</v>
      </c>
      <c r="R52" s="102" t="str">
        <f>IF(ISBLANK('Title Sheet'!C$16), "", 'Title Sheet'!C$16)</f>
        <v/>
      </c>
      <c r="S52" s="314"/>
      <c r="T52" s="368"/>
      <c r="U52" s="366" t="s">
        <v>79</v>
      </c>
      <c r="V52" s="242"/>
      <c r="W52" s="367" t="s">
        <v>9</v>
      </c>
      <c r="X52" s="342" t="s">
        <v>18</v>
      </c>
      <c r="Y52" s="408" t="str">
        <f>IF(AND(ISNUMBER(V57), ISNUMBER(Y50)), V57/Y50, "")</f>
        <v/>
      </c>
      <c r="Z52" s="314" t="s">
        <v>800</v>
      </c>
      <c r="AA52" s="315"/>
    </row>
    <row r="53" spans="1:30" ht="15" customHeight="1" x14ac:dyDescent="0.3">
      <c r="O53" s="586"/>
      <c r="P53" s="368"/>
      <c r="Q53" s="597" t="s">
        <v>6</v>
      </c>
      <c r="R53" s="228" t="s">
        <v>162</v>
      </c>
      <c r="S53" s="368"/>
      <c r="T53" s="368"/>
      <c r="U53" s="366" t="s">
        <v>11</v>
      </c>
      <c r="V53" s="243"/>
      <c r="W53" s="367" t="s">
        <v>12</v>
      </c>
      <c r="X53" s="314"/>
      <c r="Y53" s="314"/>
      <c r="Z53" s="314"/>
      <c r="AA53" s="315"/>
      <c r="AB53" s="28"/>
    </row>
    <row r="54" spans="1:30" ht="15" customHeight="1" x14ac:dyDescent="0.3">
      <c r="O54" s="586"/>
      <c r="P54" s="314"/>
      <c r="Q54" s="314"/>
      <c r="R54" s="314"/>
      <c r="S54" s="314"/>
      <c r="T54" s="314"/>
      <c r="U54" s="366" t="s">
        <v>21</v>
      </c>
      <c r="V54" s="244"/>
      <c r="W54" s="314" t="s">
        <v>9</v>
      </c>
      <c r="X54" s="606" t="s">
        <v>10</v>
      </c>
      <c r="Y54" s="368"/>
      <c r="Z54" s="368"/>
      <c r="AA54" s="561"/>
      <c r="AB54" s="28"/>
    </row>
    <row r="55" spans="1:30" ht="15" customHeight="1" x14ac:dyDescent="0.3">
      <c r="O55" s="586"/>
      <c r="P55" s="314"/>
      <c r="Q55" s="314"/>
      <c r="R55" s="606" t="s">
        <v>426</v>
      </c>
      <c r="S55" s="368"/>
      <c r="T55" s="352"/>
      <c r="U55" s="342" t="s">
        <v>7</v>
      </c>
      <c r="V55" s="406" t="str">
        <f>IF(AND(ISNUMBER(Y55), ISNUMBER(V51)), PI()*(Y55/2)^2*V51, "")</f>
        <v/>
      </c>
      <c r="W55" s="588" t="s">
        <v>8</v>
      </c>
      <c r="X55" s="366" t="s">
        <v>246</v>
      </c>
      <c r="Y55" s="246"/>
      <c r="Z55" s="370" t="s">
        <v>249</v>
      </c>
      <c r="AA55" s="561"/>
      <c r="AB55" s="28"/>
    </row>
    <row r="56" spans="1:30" ht="15" customHeight="1" x14ac:dyDescent="0.3">
      <c r="O56" s="586"/>
      <c r="P56" s="314"/>
      <c r="Q56" s="587" t="s">
        <v>428</v>
      </c>
      <c r="R56" s="658"/>
      <c r="S56" s="660"/>
      <c r="T56" s="590" t="s">
        <v>765</v>
      </c>
      <c r="U56" s="366" t="s">
        <v>16</v>
      </c>
      <c r="V56" s="407" t="str">
        <f>IF(AND(ISNUMBER(V52), ISNUMBER(V53)), V52*V53, "")</f>
        <v/>
      </c>
      <c r="W56" s="369" t="s">
        <v>17</v>
      </c>
      <c r="X56" s="366" t="s">
        <v>247</v>
      </c>
      <c r="Y56" s="247"/>
      <c r="Z56" s="370" t="s">
        <v>249</v>
      </c>
      <c r="AA56" s="561"/>
      <c r="AB56" s="28"/>
    </row>
    <row r="57" spans="1:30" ht="15" customHeight="1" x14ac:dyDescent="0.3">
      <c r="O57" s="586"/>
      <c r="P57" s="314"/>
      <c r="Q57" s="342" t="s">
        <v>429</v>
      </c>
      <c r="R57" s="228"/>
      <c r="S57" s="314" t="s">
        <v>427</v>
      </c>
      <c r="T57" s="352"/>
      <c r="U57" s="366" t="s">
        <v>26</v>
      </c>
      <c r="V57" s="212" t="str">
        <f>IF(ISNUMBER(V54), V54, "")</f>
        <v/>
      </c>
      <c r="W57" s="367" t="s">
        <v>8</v>
      </c>
      <c r="X57" s="366" t="s">
        <v>248</v>
      </c>
      <c r="Y57" s="91" t="str">
        <f>IF(AND(ISNUMBER(Y55), ISNUMBER(Y56)), PI()*(Y55/2)^2*Y56, "")</f>
        <v/>
      </c>
      <c r="Z57" s="370" t="s">
        <v>250</v>
      </c>
      <c r="AA57" s="561"/>
      <c r="AB57" s="82"/>
    </row>
    <row r="58" spans="1:30" ht="15" customHeight="1" x14ac:dyDescent="0.3">
      <c r="O58" s="586"/>
      <c r="P58" s="355"/>
      <c r="Q58" s="591"/>
      <c r="R58" s="352"/>
      <c r="S58" s="563"/>
      <c r="T58" s="352"/>
      <c r="U58" s="366" t="s">
        <v>33</v>
      </c>
      <c r="V58" s="408" t="str">
        <f>IF(AND(ISNUMBER(V54), ISNUMBER(V55)), V54/V55, "")</f>
        <v/>
      </c>
      <c r="W58" s="367" t="s">
        <v>34</v>
      </c>
      <c r="X58" s="366"/>
      <c r="Y58" s="372"/>
      <c r="Z58" s="370"/>
      <c r="AA58" s="561"/>
      <c r="AB58" s="71"/>
    </row>
    <row r="59" spans="1:30" ht="15" customHeight="1" x14ac:dyDescent="0.3">
      <c r="N59" s="23"/>
      <c r="O59" s="586"/>
      <c r="P59" s="355"/>
      <c r="Q59" s="591"/>
      <c r="R59" s="352"/>
      <c r="S59" s="563"/>
      <c r="T59" s="352"/>
      <c r="U59" s="366"/>
      <c r="V59" s="371"/>
      <c r="W59" s="367"/>
      <c r="X59" s="366"/>
      <c r="Y59" s="372"/>
      <c r="Z59" s="370"/>
      <c r="AA59" s="561"/>
      <c r="AB59" s="71"/>
    </row>
    <row r="60" spans="1:30" ht="15" customHeight="1" x14ac:dyDescent="0.3">
      <c r="O60" s="586"/>
      <c r="P60" s="368"/>
      <c r="Q60" s="368"/>
      <c r="R60" s="368"/>
      <c r="S60" s="587" t="s">
        <v>245</v>
      </c>
      <c r="T60" s="628"/>
      <c r="U60" s="314"/>
      <c r="V60" s="314"/>
      <c r="W60" s="314"/>
      <c r="X60" s="368"/>
      <c r="Y60" s="368"/>
      <c r="Z60" s="368"/>
      <c r="AA60" s="585"/>
      <c r="AB60" s="71"/>
    </row>
    <row r="61" spans="1:30" ht="15" customHeight="1" x14ac:dyDescent="0.3">
      <c r="O61" s="586"/>
      <c r="P61" s="373" t="s">
        <v>40</v>
      </c>
      <c r="Q61" s="373" t="s">
        <v>807</v>
      </c>
      <c r="R61" s="373" t="s">
        <v>40</v>
      </c>
      <c r="S61" s="373" t="s">
        <v>41</v>
      </c>
      <c r="T61" s="373" t="s">
        <v>42</v>
      </c>
      <c r="U61" s="373" t="s">
        <v>43</v>
      </c>
      <c r="V61" s="373" t="s">
        <v>44</v>
      </c>
      <c r="W61" s="373" t="s">
        <v>45</v>
      </c>
      <c r="X61" s="373" t="s">
        <v>45</v>
      </c>
      <c r="Y61" s="373" t="s">
        <v>45</v>
      </c>
      <c r="Z61" s="373" t="s">
        <v>45</v>
      </c>
      <c r="AA61" s="375"/>
      <c r="AB61" s="75"/>
    </row>
    <row r="62" spans="1:30" ht="15" customHeight="1" x14ac:dyDescent="0.3">
      <c r="O62" s="586"/>
      <c r="P62" s="375" t="s">
        <v>47</v>
      </c>
      <c r="Q62" s="375" t="s">
        <v>808</v>
      </c>
      <c r="R62" s="375" t="s">
        <v>15</v>
      </c>
      <c r="S62" s="375" t="s">
        <v>48</v>
      </c>
      <c r="T62" s="375" t="s">
        <v>49</v>
      </c>
      <c r="U62" s="375" t="s">
        <v>49</v>
      </c>
      <c r="V62" s="375" t="s">
        <v>50</v>
      </c>
      <c r="W62" s="375" t="s">
        <v>51</v>
      </c>
      <c r="X62" s="375" t="s">
        <v>52</v>
      </c>
      <c r="Y62" s="375" t="s">
        <v>53</v>
      </c>
      <c r="Z62" s="375" t="s">
        <v>156</v>
      </c>
      <c r="AA62" s="375"/>
      <c r="AB62" s="75"/>
    </row>
    <row r="63" spans="1:30" ht="15" customHeight="1" thickBot="1" x14ac:dyDescent="0.35">
      <c r="O63" s="586"/>
      <c r="P63" s="376"/>
      <c r="Q63" s="377" t="s">
        <v>56</v>
      </c>
      <c r="R63" s="377" t="s">
        <v>57</v>
      </c>
      <c r="S63" s="377"/>
      <c r="T63" s="377" t="s">
        <v>58</v>
      </c>
      <c r="U63" s="377" t="s">
        <v>58</v>
      </c>
      <c r="V63" s="377" t="s">
        <v>37</v>
      </c>
      <c r="W63" s="377" t="s">
        <v>37</v>
      </c>
      <c r="X63" s="377" t="s">
        <v>59</v>
      </c>
      <c r="Y63" s="377" t="s">
        <v>60</v>
      </c>
      <c r="Z63" s="377" t="s">
        <v>243</v>
      </c>
      <c r="AA63" s="592"/>
      <c r="AB63" s="84"/>
    </row>
    <row r="64" spans="1:30" ht="15" customHeight="1" thickTop="1" x14ac:dyDescent="0.3">
      <c r="A64" s="29"/>
      <c r="O64" s="378"/>
      <c r="P64" s="380" t="s">
        <v>63</v>
      </c>
      <c r="Q64" s="380">
        <v>0</v>
      </c>
      <c r="R64" s="381">
        <v>10</v>
      </c>
      <c r="S64" s="120" t="str">
        <f t="shared" ref="S64:S73" si="4">IF(ISNUMBER(R64), IF(ISNUMBER(U64), TEXT(U64,"ddd"), TEXT(T64, "ddd")), "")</f>
        <v/>
      </c>
      <c r="T64" s="121" t="str">
        <f>IF(AND(ISNUMBER(T60), ISNUMBER(Y50)), T60+R64/Y50,  "")</f>
        <v/>
      </c>
      <c r="U64" s="248"/>
      <c r="V64" s="249"/>
      <c r="W64" s="250"/>
      <c r="X64" s="250"/>
      <c r="Y64" s="251"/>
      <c r="Z64" s="251"/>
      <c r="AA64" s="592"/>
      <c r="AB64" s="84"/>
    </row>
    <row r="65" spans="2:28" ht="15" customHeight="1" x14ac:dyDescent="0.3">
      <c r="B65" s="4"/>
      <c r="C65" s="4"/>
      <c r="D65" s="4"/>
      <c r="E65" s="4"/>
      <c r="F65" s="4"/>
      <c r="G65" s="4"/>
      <c r="H65" s="4"/>
      <c r="I65" s="4"/>
      <c r="J65" s="4"/>
      <c r="K65" s="29"/>
      <c r="L65" s="4"/>
      <c r="M65" s="4"/>
      <c r="O65" s="593"/>
      <c r="P65" s="382" t="s">
        <v>64</v>
      </c>
      <c r="Q65" s="383">
        <v>0.2</v>
      </c>
      <c r="R65" s="384" t="str">
        <f>IF(ISNUMBER(V56), Q65*V56-SUM(R64:R64), "")</f>
        <v/>
      </c>
      <c r="S65" s="122" t="str">
        <f t="shared" si="4"/>
        <v/>
      </c>
      <c r="T65" s="123" t="str">
        <f>IF(AND(ISNUMBER(R65),ISNUMBER(T64)), IF(ISNUMBER(U64),U64+R65/Y50,T64+R65/Y50), "")</f>
        <v/>
      </c>
      <c r="U65" s="252"/>
      <c r="V65" s="253"/>
      <c r="W65" s="254"/>
      <c r="X65" s="254"/>
      <c r="Y65" s="254"/>
      <c r="Z65" s="254"/>
      <c r="AA65" s="594"/>
      <c r="AB65" s="84"/>
    </row>
    <row r="66" spans="2:28" ht="15" customHeight="1" x14ac:dyDescent="0.3">
      <c r="O66" s="586"/>
      <c r="P66" s="382" t="s">
        <v>65</v>
      </c>
      <c r="Q66" s="383">
        <v>0.5</v>
      </c>
      <c r="R66" s="384" t="str">
        <f>IF(ISNUMBER(V56), Q66*V56-SUM(R64:R65), "")</f>
        <v/>
      </c>
      <c r="S66" s="122" t="str">
        <f t="shared" si="4"/>
        <v/>
      </c>
      <c r="T66" s="123" t="str">
        <f>IF(AND(ISNUMBER(R66),ISNUMBER(T65)), IF(ISNUMBER(U65),U65+R66/Y50,T65+R66/Y50), "")</f>
        <v/>
      </c>
      <c r="U66" s="252"/>
      <c r="V66" s="253"/>
      <c r="W66" s="254"/>
      <c r="X66" s="254"/>
      <c r="Y66" s="254"/>
      <c r="Z66" s="254"/>
      <c r="AA66" s="594"/>
      <c r="AB66" s="84"/>
    </row>
    <row r="67" spans="2:28" ht="15" customHeight="1" x14ac:dyDescent="0.3">
      <c r="O67" s="586"/>
      <c r="P67" s="382" t="s">
        <v>66</v>
      </c>
      <c r="Q67" s="383">
        <v>1</v>
      </c>
      <c r="R67" s="384" t="str">
        <f>IF(ISNUMBER(V56), Q67*V56-SUM(R64:R66), "")</f>
        <v/>
      </c>
      <c r="S67" s="122" t="str">
        <f t="shared" si="4"/>
        <v/>
      </c>
      <c r="T67" s="123" t="str">
        <f>IF(AND(ISNUMBER(R67),ISNUMBER(T66)), IF(ISNUMBER(U66),U66+R67/Y50,T66+R67/Y50), "")</f>
        <v/>
      </c>
      <c r="U67" s="252"/>
      <c r="V67" s="253"/>
      <c r="W67" s="254"/>
      <c r="X67" s="254"/>
      <c r="Y67" s="254"/>
      <c r="Z67" s="254"/>
      <c r="AA67" s="594"/>
      <c r="AB67" s="84"/>
    </row>
    <row r="68" spans="2:28" ht="15" customHeight="1" x14ac:dyDescent="0.3">
      <c r="O68" s="586"/>
      <c r="P68" s="382" t="s">
        <v>67</v>
      </c>
      <c r="Q68" s="383">
        <v>1.5</v>
      </c>
      <c r="R68" s="384" t="str">
        <f>IF(ISNUMBER(V56), Q68*V56-SUM(R64:R67), "")</f>
        <v/>
      </c>
      <c r="S68" s="122" t="str">
        <f t="shared" si="4"/>
        <v/>
      </c>
      <c r="T68" s="123" t="str">
        <f>IF(AND(ISNUMBER(R68),ISNUMBER(T67)), IF(ISNUMBER(U67),U67+R68/Y50,T67+R68/Y50), "")</f>
        <v/>
      </c>
      <c r="U68" s="252"/>
      <c r="V68" s="253"/>
      <c r="W68" s="254"/>
      <c r="X68" s="254"/>
      <c r="Y68" s="254"/>
      <c r="Z68" s="255"/>
      <c r="AA68" s="594"/>
      <c r="AB68" s="84"/>
    </row>
    <row r="69" spans="2:28" ht="15" customHeight="1" x14ac:dyDescent="0.3">
      <c r="O69" s="586"/>
      <c r="P69" s="382" t="s">
        <v>68</v>
      </c>
      <c r="Q69" s="383">
        <v>2</v>
      </c>
      <c r="R69" s="384" t="str">
        <f>IF(ISNUMBER(V56), Q69*V56-SUM(R64:R68), "")</f>
        <v/>
      </c>
      <c r="S69" s="122" t="str">
        <f t="shared" si="4"/>
        <v/>
      </c>
      <c r="T69" s="123" t="str">
        <f>IF(AND(ISNUMBER(R69),ISNUMBER(T68)), IF(ISNUMBER(U68),U68+R69/Y50,T68+R69/Y50), "")</f>
        <v/>
      </c>
      <c r="U69" s="252"/>
      <c r="V69" s="253"/>
      <c r="W69" s="254"/>
      <c r="X69" s="254"/>
      <c r="Y69" s="254"/>
      <c r="Z69" s="255"/>
      <c r="AA69" s="594"/>
      <c r="AB69" s="84"/>
    </row>
    <row r="70" spans="2:28" ht="15" customHeight="1" x14ac:dyDescent="0.3">
      <c r="O70" s="586"/>
      <c r="P70" s="382" t="s">
        <v>69</v>
      </c>
      <c r="Q70" s="383">
        <v>4.5</v>
      </c>
      <c r="R70" s="384" t="str">
        <f>IF(ISNUMBER(V56), Q70*V56-SUM(R64:R69), "")</f>
        <v/>
      </c>
      <c r="S70" s="122" t="str">
        <f t="shared" si="4"/>
        <v/>
      </c>
      <c r="T70" s="123" t="str">
        <f>IF(AND(ISNUMBER(R70),ISNUMBER(T69)), IF(ISNUMBER(U69),U69+R70/Y50,T69+R70/Y50), "")</f>
        <v/>
      </c>
      <c r="U70" s="252"/>
      <c r="V70" s="253"/>
      <c r="W70" s="254"/>
      <c r="X70" s="254"/>
      <c r="Y70" s="254"/>
      <c r="Z70" s="255"/>
      <c r="AA70" s="594"/>
      <c r="AB70" s="84"/>
    </row>
    <row r="71" spans="2:28" ht="15" customHeight="1" x14ac:dyDescent="0.3">
      <c r="O71" s="586"/>
      <c r="P71" s="382" t="s">
        <v>70</v>
      </c>
      <c r="Q71" s="383">
        <v>5</v>
      </c>
      <c r="R71" s="384" t="str">
        <f>IF(ISNUMBER(V56), Q71*V56-SUM(R64:R70), "")</f>
        <v/>
      </c>
      <c r="S71" s="122" t="str">
        <f t="shared" si="4"/>
        <v/>
      </c>
      <c r="T71" s="123" t="str">
        <f>IF(AND(ISNUMBER(R71),ISNUMBER(T70)), IF(ISNUMBER(U70),U70+R71/Y50,T70+R71/Y50), "")</f>
        <v/>
      </c>
      <c r="U71" s="252"/>
      <c r="V71" s="253"/>
      <c r="W71" s="254"/>
      <c r="X71" s="254"/>
      <c r="Y71" s="254"/>
      <c r="Z71" s="255"/>
      <c r="AA71" s="594"/>
      <c r="AB71" s="84"/>
    </row>
    <row r="72" spans="2:28" ht="15" customHeight="1" x14ac:dyDescent="0.3">
      <c r="O72" s="378"/>
      <c r="P72" s="382" t="s">
        <v>71</v>
      </c>
      <c r="Q72" s="383">
        <v>9.5</v>
      </c>
      <c r="R72" s="384" t="str">
        <f>IF(ISNUMBER(V56), Q72*V56-SUM(R64:R71), "")</f>
        <v/>
      </c>
      <c r="S72" s="122" t="str">
        <f t="shared" si="4"/>
        <v/>
      </c>
      <c r="T72" s="123" t="str">
        <f>IF(AND(ISNUMBER(R72),ISNUMBER(T71)), IF(ISNUMBER(U71),U71+R72/Y50,T71+R72/Y50), "")</f>
        <v/>
      </c>
      <c r="U72" s="252"/>
      <c r="V72" s="253"/>
      <c r="W72" s="254"/>
      <c r="X72" s="254"/>
      <c r="Y72" s="254"/>
      <c r="Z72" s="255"/>
      <c r="AA72" s="594"/>
      <c r="AB72" s="85"/>
    </row>
    <row r="73" spans="2:28" ht="15" customHeight="1" x14ac:dyDescent="0.3">
      <c r="O73" s="586"/>
      <c r="P73" s="385" t="s">
        <v>72</v>
      </c>
      <c r="Q73" s="386">
        <v>10</v>
      </c>
      <c r="R73" s="387" t="str">
        <f>IF(ISNUMBER(V56), Q73*V56-SUM(R64:R72), "")</f>
        <v/>
      </c>
      <c r="S73" s="124" t="str">
        <f t="shared" si="4"/>
        <v/>
      </c>
      <c r="T73" s="125" t="str">
        <f>IF(AND(ISNUMBER(R73),ISNUMBER(T72)), IF(ISNUMBER(U72),U72+R73/Y50,T72+R73/Y50), "")</f>
        <v/>
      </c>
      <c r="U73" s="256"/>
      <c r="V73" s="257"/>
      <c r="W73" s="258"/>
      <c r="X73" s="258"/>
      <c r="Y73" s="258"/>
      <c r="Z73" s="259"/>
      <c r="AA73" s="594"/>
    </row>
    <row r="74" spans="2:28" ht="15" customHeight="1" x14ac:dyDescent="0.3">
      <c r="O74" s="586"/>
      <c r="P74" s="388"/>
      <c r="Q74" s="389"/>
      <c r="R74" s="389"/>
      <c r="S74" s="390"/>
      <c r="T74" s="390"/>
      <c r="U74" s="391"/>
      <c r="V74" s="392"/>
      <c r="W74" s="392"/>
      <c r="X74" s="393"/>
      <c r="Y74" s="393"/>
      <c r="Z74" s="393"/>
      <c r="AA74" s="595"/>
    </row>
    <row r="75" spans="2:28" ht="15" customHeight="1" x14ac:dyDescent="0.3">
      <c r="O75" s="313"/>
      <c r="P75" s="395" t="str">
        <f>P61</f>
        <v>Fraction</v>
      </c>
      <c r="Q75" s="373" t="s">
        <v>24</v>
      </c>
      <c r="R75" s="373" t="s">
        <v>804</v>
      </c>
      <c r="S75" s="373" t="s">
        <v>46</v>
      </c>
      <c r="T75" s="395"/>
      <c r="U75" s="396"/>
      <c r="V75" s="396"/>
      <c r="W75" s="396"/>
      <c r="X75" s="396"/>
      <c r="Y75" s="396"/>
      <c r="Z75" s="373" t="s">
        <v>45</v>
      </c>
      <c r="AA75" s="315"/>
    </row>
    <row r="76" spans="2:28" ht="15" customHeight="1" x14ac:dyDescent="0.3">
      <c r="O76" s="313"/>
      <c r="P76" s="374" t="str">
        <f>P62</f>
        <v>Label</v>
      </c>
      <c r="Q76" s="375" t="s">
        <v>54</v>
      </c>
      <c r="R76" s="375" t="s">
        <v>805</v>
      </c>
      <c r="S76" s="375" t="s">
        <v>313</v>
      </c>
      <c r="T76" s="374"/>
      <c r="U76" s="397"/>
      <c r="V76" s="397"/>
      <c r="W76" s="397"/>
      <c r="X76" s="397"/>
      <c r="Y76" s="397"/>
      <c r="Z76" s="375" t="s">
        <v>54</v>
      </c>
      <c r="AA76" s="315"/>
    </row>
    <row r="77" spans="2:28" ht="15" customHeight="1" thickBot="1" x14ac:dyDescent="0.35">
      <c r="N77" s="4"/>
      <c r="O77" s="313"/>
      <c r="P77" s="398"/>
      <c r="Q77" s="377" t="s">
        <v>37</v>
      </c>
      <c r="R77" s="377" t="s">
        <v>56</v>
      </c>
      <c r="S77" s="377" t="s">
        <v>62</v>
      </c>
      <c r="T77" s="399" t="s">
        <v>314</v>
      </c>
      <c r="U77" s="400"/>
      <c r="V77" s="400"/>
      <c r="W77" s="400"/>
      <c r="X77" s="400"/>
      <c r="Y77" s="400"/>
      <c r="Z77" s="376" t="s">
        <v>61</v>
      </c>
      <c r="AA77" s="315"/>
    </row>
    <row r="78" spans="2:28" ht="15" customHeight="1" thickTop="1" x14ac:dyDescent="0.3">
      <c r="O78" s="313"/>
      <c r="P78" s="401" t="str">
        <f t="shared" ref="P78:P87" si="5">P64</f>
        <v>-</v>
      </c>
      <c r="Q78" s="402" t="str">
        <f t="shared" ref="Q78:Q87" si="6">IF(ISNUMBER(W64), W64-V64, "")</f>
        <v/>
      </c>
      <c r="R78" s="612"/>
      <c r="S78" s="411" t="s">
        <v>63</v>
      </c>
      <c r="T78" s="260" t="s">
        <v>315</v>
      </c>
      <c r="U78" s="596"/>
      <c r="V78" s="260"/>
      <c r="W78" s="260"/>
      <c r="X78" s="260"/>
      <c r="Y78" s="260"/>
      <c r="Z78" s="261"/>
      <c r="AA78" s="315"/>
    </row>
    <row r="79" spans="2:28" ht="15" customHeight="1" x14ac:dyDescent="0.3">
      <c r="O79" s="313"/>
      <c r="P79" s="403" t="str">
        <f t="shared" si="5"/>
        <v>T01</v>
      </c>
      <c r="Q79" s="383" t="str">
        <f t="shared" si="6"/>
        <v/>
      </c>
      <c r="R79" s="613" t="str">
        <f>IF(ISNUMBER(Q79), SUM(Q78:Q79)/V56, "")</f>
        <v/>
      </c>
      <c r="S79" s="452" t="str">
        <f>IF(AND(ISNUMBER(U65), ISNUMBER(Q79)), SUM(Q79:Q79)/(U65-T60), "")</f>
        <v/>
      </c>
      <c r="T79" s="262"/>
      <c r="U79" s="263"/>
      <c r="V79" s="263"/>
      <c r="W79" s="263"/>
      <c r="X79" s="263"/>
      <c r="Y79" s="263"/>
      <c r="Z79" s="264"/>
      <c r="AA79" s="315"/>
    </row>
    <row r="80" spans="2:28" ht="15" customHeight="1" x14ac:dyDescent="0.3">
      <c r="O80" s="313"/>
      <c r="P80" s="403" t="str">
        <f t="shared" si="5"/>
        <v>T02</v>
      </c>
      <c r="Q80" s="383" t="str">
        <f t="shared" si="6"/>
        <v/>
      </c>
      <c r="R80" s="613" t="str">
        <f>IF(ISNUMBER(Q80), SUM(Q78:Q80)/V56, "")</f>
        <v/>
      </c>
      <c r="S80" s="452" t="str">
        <f t="shared" ref="S80:S87" si="7">IF(AND(ISNUMBER(U66), ISNUMBER(Q80)), SUM(Q80:Q80)/(U66-U65), "")</f>
        <v/>
      </c>
      <c r="T80" s="639"/>
      <c r="U80" s="265"/>
      <c r="V80" s="265"/>
      <c r="W80" s="265"/>
      <c r="X80" s="265"/>
      <c r="Y80" s="265"/>
      <c r="Z80" s="264"/>
      <c r="AA80" s="315"/>
    </row>
    <row r="81" spans="1:45" ht="15" customHeight="1" x14ac:dyDescent="0.3">
      <c r="O81" s="313"/>
      <c r="P81" s="403" t="str">
        <f t="shared" si="5"/>
        <v>T03</v>
      </c>
      <c r="Q81" s="383" t="str">
        <f t="shared" si="6"/>
        <v/>
      </c>
      <c r="R81" s="613" t="str">
        <f>IF(ISNUMBER(Q81), SUM(Q78:Q81)/V56, "")</f>
        <v/>
      </c>
      <c r="S81" s="452" t="str">
        <f t="shared" si="7"/>
        <v/>
      </c>
      <c r="T81" s="262"/>
      <c r="U81" s="265"/>
      <c r="V81" s="265"/>
      <c r="W81" s="265"/>
      <c r="X81" s="265"/>
      <c r="Y81" s="265"/>
      <c r="Z81" s="264"/>
      <c r="AA81" s="315"/>
    </row>
    <row r="82" spans="1:45" ht="15" customHeight="1" x14ac:dyDescent="0.3">
      <c r="A82" s="11"/>
      <c r="O82" s="313"/>
      <c r="P82" s="403" t="str">
        <f t="shared" si="5"/>
        <v>T04</v>
      </c>
      <c r="Q82" s="383" t="str">
        <f t="shared" si="6"/>
        <v/>
      </c>
      <c r="R82" s="613" t="str">
        <f>IF(ISNUMBER(Q82), SUM(Q78:Q82)/V56, "")</f>
        <v/>
      </c>
      <c r="S82" s="452" t="str">
        <f t="shared" si="7"/>
        <v/>
      </c>
      <c r="T82" s="266"/>
      <c r="U82" s="267"/>
      <c r="V82" s="267"/>
      <c r="W82" s="267"/>
      <c r="X82" s="267"/>
      <c r="Y82" s="267"/>
      <c r="Z82" s="264"/>
      <c r="AA82" s="315"/>
    </row>
    <row r="83" spans="1:45" ht="15" customHeight="1" x14ac:dyDescent="0.3">
      <c r="B83" s="11"/>
      <c r="C83" s="11"/>
      <c r="D83" s="11"/>
      <c r="E83" s="11"/>
      <c r="F83" s="11"/>
      <c r="G83" s="11"/>
      <c r="H83" s="11"/>
      <c r="I83" s="11"/>
      <c r="J83" s="11"/>
      <c r="K83" s="11"/>
      <c r="L83" s="11"/>
      <c r="M83" s="11"/>
      <c r="O83" s="313"/>
      <c r="P83" s="403" t="str">
        <f t="shared" si="5"/>
        <v>T05</v>
      </c>
      <c r="Q83" s="383" t="str">
        <f t="shared" si="6"/>
        <v/>
      </c>
      <c r="R83" s="613" t="str">
        <f>IF(ISNUMBER(Q83), SUM(Q78:Q83)/V56, "")</f>
        <v/>
      </c>
      <c r="S83" s="452" t="str">
        <f t="shared" si="7"/>
        <v/>
      </c>
      <c r="T83" s="262"/>
      <c r="U83" s="267"/>
      <c r="V83" s="267"/>
      <c r="W83" s="267"/>
      <c r="X83" s="267"/>
      <c r="Y83" s="267"/>
      <c r="Z83" s="264"/>
      <c r="AA83" s="315"/>
    </row>
    <row r="84" spans="1:45" ht="15" customHeight="1" x14ac:dyDescent="0.3">
      <c r="O84" s="313"/>
      <c r="P84" s="403" t="str">
        <f t="shared" si="5"/>
        <v>T06</v>
      </c>
      <c r="Q84" s="383" t="str">
        <f t="shared" si="6"/>
        <v/>
      </c>
      <c r="R84" s="613" t="str">
        <f>IF(ISNUMBER(Q84), SUM(Q78:Q84)/V56, "")</f>
        <v/>
      </c>
      <c r="S84" s="452" t="str">
        <f t="shared" si="7"/>
        <v/>
      </c>
      <c r="T84" s="262"/>
      <c r="U84" s="265"/>
      <c r="V84" s="265"/>
      <c r="W84" s="265"/>
      <c r="X84" s="265"/>
      <c r="Y84" s="265"/>
      <c r="Z84" s="264"/>
      <c r="AA84" s="315"/>
    </row>
    <row r="85" spans="1:45" ht="15" customHeight="1" x14ac:dyDescent="0.3">
      <c r="N85" s="11"/>
      <c r="O85" s="313"/>
      <c r="P85" s="403" t="str">
        <f t="shared" si="5"/>
        <v>T07</v>
      </c>
      <c r="Q85" s="383" t="str">
        <f t="shared" si="6"/>
        <v/>
      </c>
      <c r="R85" s="613" t="str">
        <f>IF(ISNUMBER(Q85), SUM(Q78:Q85)/V56, "")</f>
        <v/>
      </c>
      <c r="S85" s="452" t="str">
        <f t="shared" si="7"/>
        <v/>
      </c>
      <c r="T85" s="262"/>
      <c r="U85" s="265"/>
      <c r="V85" s="265"/>
      <c r="W85" s="265"/>
      <c r="X85" s="265"/>
      <c r="Y85" s="265"/>
      <c r="Z85" s="264"/>
      <c r="AA85" s="315"/>
      <c r="AC85" s="82"/>
      <c r="AE85" s="29"/>
    </row>
    <row r="86" spans="1:45" s="29" customFormat="1" ht="15" customHeight="1" x14ac:dyDescent="0.3">
      <c r="A86" s="23"/>
      <c r="N86"/>
      <c r="O86" s="313"/>
      <c r="P86" s="403" t="str">
        <f t="shared" si="5"/>
        <v>T08</v>
      </c>
      <c r="Q86" s="383" t="str">
        <f t="shared" si="6"/>
        <v/>
      </c>
      <c r="R86" s="613" t="str">
        <f>IF(ISNUMBER(Q86), SUM(Q78:Q86)/V56, "")</f>
        <v/>
      </c>
      <c r="S86" s="452" t="str">
        <f t="shared" si="7"/>
        <v/>
      </c>
      <c r="T86" s="262"/>
      <c r="U86" s="265"/>
      <c r="V86" s="265"/>
      <c r="W86" s="265"/>
      <c r="X86" s="265"/>
      <c r="Y86" s="265"/>
      <c r="Z86" s="264"/>
      <c r="AA86" s="315"/>
      <c r="AB86" s="82"/>
      <c r="AE86"/>
      <c r="AF86"/>
      <c r="AG86"/>
      <c r="AH86"/>
      <c r="AI86"/>
      <c r="AJ86"/>
      <c r="AK86"/>
      <c r="AL86"/>
      <c r="AM86"/>
      <c r="AN86"/>
      <c r="AO86"/>
      <c r="AP86"/>
      <c r="AQ86"/>
      <c r="AR86"/>
      <c r="AS86"/>
    </row>
    <row r="87" spans="1:45" ht="15" customHeight="1" x14ac:dyDescent="0.3">
      <c r="O87" s="313"/>
      <c r="P87" s="404" t="str">
        <f t="shared" si="5"/>
        <v>T09</v>
      </c>
      <c r="Q87" s="386" t="str">
        <f t="shared" si="6"/>
        <v/>
      </c>
      <c r="R87" s="614" t="str">
        <f>IF(ISNUMBER(Q87), SUM(Q78:Q87)/V56, "")</f>
        <v/>
      </c>
      <c r="S87" s="453" t="str">
        <f t="shared" si="7"/>
        <v/>
      </c>
      <c r="T87" s="268"/>
      <c r="U87" s="269"/>
      <c r="V87" s="269"/>
      <c r="W87" s="269"/>
      <c r="X87" s="269"/>
      <c r="Y87" s="269"/>
      <c r="Z87" s="264"/>
      <c r="AA87" s="315"/>
      <c r="AK87" s="29"/>
      <c r="AS87" s="29"/>
    </row>
    <row r="88" spans="1:45" ht="15" customHeight="1" x14ac:dyDescent="0.3">
      <c r="N88" s="29"/>
      <c r="O88" s="313"/>
      <c r="P88" s="394"/>
      <c r="Q88" s="394"/>
      <c r="R88" s="607" t="s">
        <v>802</v>
      </c>
      <c r="S88" s="638" t="str">
        <f>IF(ISNUMBER(AVERAGE(S79:S87)), AVERAGE(S79:S87), "")</f>
        <v/>
      </c>
      <c r="T88" s="314"/>
      <c r="U88" s="405"/>
      <c r="V88" s="368"/>
      <c r="W88" s="368"/>
      <c r="X88" s="368"/>
      <c r="Y88" s="368"/>
      <c r="Z88" s="368"/>
      <c r="AA88" s="585"/>
      <c r="AC88"/>
      <c r="AE88" s="29"/>
      <c r="AF88" s="29"/>
      <c r="AG88" s="29"/>
      <c r="AH88" s="29"/>
      <c r="AI88" s="29"/>
      <c r="AJ88" s="29"/>
    </row>
    <row r="89" spans="1:45" ht="15" customHeight="1" x14ac:dyDescent="0.35">
      <c r="O89" s="324"/>
      <c r="P89" s="325"/>
      <c r="Q89" s="206" t="s">
        <v>461</v>
      </c>
      <c r="R89" s="325"/>
      <c r="S89" s="325"/>
      <c r="T89" s="325"/>
      <c r="U89" s="325"/>
      <c r="V89" s="325"/>
      <c r="W89" s="325"/>
      <c r="X89" s="325"/>
      <c r="Y89" s="325"/>
      <c r="Z89" s="325"/>
      <c r="AA89" s="326"/>
      <c r="AB89" s="14"/>
      <c r="AC89"/>
      <c r="AD89"/>
    </row>
    <row r="90" spans="1:45" x14ac:dyDescent="0.3">
      <c r="O90" s="29"/>
      <c r="P90" s="29"/>
      <c r="Q90" s="29"/>
      <c r="R90" s="29"/>
      <c r="S90" s="29"/>
      <c r="T90" s="29"/>
      <c r="U90" s="29"/>
      <c r="V90" s="29"/>
      <c r="W90" s="29"/>
      <c r="X90" s="29"/>
      <c r="Y90" s="29"/>
      <c r="Z90" s="29"/>
      <c r="AA90" s="29"/>
      <c r="AC90"/>
      <c r="AD90"/>
    </row>
    <row r="91" spans="1:45" ht="18" x14ac:dyDescent="0.35">
      <c r="N91" s="714" t="s">
        <v>776</v>
      </c>
      <c r="O91" s="715"/>
      <c r="P91" s="715"/>
      <c r="Q91" s="715"/>
      <c r="R91" s="715"/>
      <c r="S91" s="715"/>
      <c r="T91" s="715"/>
      <c r="U91" s="715"/>
      <c r="V91" s="715"/>
      <c r="W91" s="715"/>
      <c r="X91" s="715"/>
      <c r="Y91" s="715"/>
      <c r="Z91" s="715"/>
      <c r="AA91" s="715"/>
      <c r="AB91" s="716"/>
      <c r="AC91"/>
      <c r="AD91"/>
      <c r="AL91" s="29"/>
      <c r="AM91" s="29"/>
      <c r="AN91" s="29"/>
      <c r="AO91" s="29"/>
      <c r="AP91" s="29"/>
      <c r="AQ91" s="29"/>
      <c r="AR91" s="29"/>
    </row>
    <row r="92" spans="1:45" x14ac:dyDescent="0.3">
      <c r="O92" s="23"/>
      <c r="P92" s="23"/>
      <c r="Q92" s="23"/>
      <c r="R92" s="23"/>
      <c r="S92" s="23"/>
      <c r="T92" s="23"/>
      <c r="U92" s="23"/>
      <c r="V92" s="23"/>
      <c r="W92" s="23"/>
      <c r="X92" s="23"/>
      <c r="Y92" s="23"/>
      <c r="Z92" s="23"/>
      <c r="AA92" s="23"/>
      <c r="AB92" s="82"/>
      <c r="AC92"/>
      <c r="AD92"/>
    </row>
    <row r="93" spans="1:45" ht="15" customHeight="1" x14ac:dyDescent="0.3">
      <c r="O93" s="579" t="s">
        <v>784</v>
      </c>
      <c r="P93" s="580"/>
      <c r="Q93" s="581"/>
      <c r="R93" s="581"/>
      <c r="S93" s="557"/>
      <c r="T93" s="581"/>
      <c r="U93" s="581"/>
      <c r="V93" s="581"/>
      <c r="W93" s="581"/>
      <c r="X93" s="581"/>
      <c r="Y93" s="581"/>
      <c r="Z93" s="556"/>
      <c r="AA93" s="582"/>
      <c r="AB93" s="28"/>
      <c r="AC93"/>
      <c r="AD93"/>
    </row>
    <row r="94" spans="1:45" ht="15" customHeight="1" x14ac:dyDescent="0.3">
      <c r="O94" s="583"/>
      <c r="P94" s="560"/>
      <c r="Q94" s="368"/>
      <c r="R94" s="368"/>
      <c r="S94" s="368"/>
      <c r="T94" s="368"/>
      <c r="U94" s="368"/>
      <c r="V94" s="604" t="s">
        <v>2</v>
      </c>
      <c r="W94" s="352"/>
      <c r="X94" s="605" t="s">
        <v>22</v>
      </c>
      <c r="Y94" s="368"/>
      <c r="Z94" s="368"/>
      <c r="AA94" s="585"/>
      <c r="AC94"/>
      <c r="AD94"/>
    </row>
    <row r="95" spans="1:45" ht="15" customHeight="1" x14ac:dyDescent="0.3">
      <c r="O95" s="586"/>
      <c r="P95" s="368"/>
      <c r="Q95" s="368"/>
      <c r="R95" s="412" t="s">
        <v>0</v>
      </c>
      <c r="S95" s="563"/>
      <c r="T95" s="352"/>
      <c r="U95" s="587" t="s">
        <v>788</v>
      </c>
      <c r="V95" s="241"/>
      <c r="W95" s="314" t="s">
        <v>789</v>
      </c>
      <c r="X95" s="342" t="s">
        <v>27</v>
      </c>
      <c r="Y95" s="245"/>
      <c r="Z95" s="314" t="s">
        <v>801</v>
      </c>
      <c r="AA95" s="561"/>
      <c r="AC95"/>
      <c r="AD95"/>
    </row>
    <row r="96" spans="1:45" ht="15" customHeight="1" x14ac:dyDescent="0.3">
      <c r="O96" s="586"/>
      <c r="P96" s="368"/>
      <c r="Q96" s="597" t="s">
        <v>1</v>
      </c>
      <c r="R96" s="101" t="str">
        <f>IF(ISBLANK('Title Sheet'!C$8), "", 'Title Sheet'!C$8)</f>
        <v/>
      </c>
      <c r="S96" s="314"/>
      <c r="T96" s="368"/>
      <c r="U96" s="366" t="s">
        <v>4</v>
      </c>
      <c r="V96" s="242"/>
      <c r="W96" s="367" t="s">
        <v>5</v>
      </c>
      <c r="X96" s="342" t="s">
        <v>798</v>
      </c>
      <c r="Y96" s="409" t="str">
        <f>IF(AND(ISNUMBER(Y95), ISNUMBER(V101)), Y95/V101, "")</f>
        <v/>
      </c>
      <c r="Z96" s="314" t="s">
        <v>799</v>
      </c>
      <c r="AA96" s="315"/>
      <c r="AC96"/>
      <c r="AD96"/>
    </row>
    <row r="97" spans="14:30" ht="15" customHeight="1" x14ac:dyDescent="0.3">
      <c r="O97" s="586"/>
      <c r="P97" s="368"/>
      <c r="Q97" s="597" t="s">
        <v>3</v>
      </c>
      <c r="R97" s="102" t="str">
        <f>IF(ISBLANK('Title Sheet'!C$16), "", 'Title Sheet'!C$16)</f>
        <v/>
      </c>
      <c r="S97" s="314"/>
      <c r="T97" s="368"/>
      <c r="U97" s="366" t="s">
        <v>79</v>
      </c>
      <c r="V97" s="242"/>
      <c r="W97" s="367" t="s">
        <v>9</v>
      </c>
      <c r="X97" s="342" t="s">
        <v>18</v>
      </c>
      <c r="Y97" s="408" t="str">
        <f>IF(AND(ISNUMBER(V102), ISNUMBER(Y95)), V102/Y95, "")</f>
        <v/>
      </c>
      <c r="Z97" s="314" t="s">
        <v>800</v>
      </c>
      <c r="AA97" s="315"/>
      <c r="AB97" s="28"/>
      <c r="AC97"/>
      <c r="AD97"/>
    </row>
    <row r="98" spans="14:30" ht="15" customHeight="1" x14ac:dyDescent="0.3">
      <c r="O98" s="586"/>
      <c r="P98" s="368"/>
      <c r="Q98" s="597" t="s">
        <v>6</v>
      </c>
      <c r="R98" s="228" t="s">
        <v>84</v>
      </c>
      <c r="S98" s="368"/>
      <c r="T98" s="368"/>
      <c r="U98" s="366" t="s">
        <v>11</v>
      </c>
      <c r="V98" s="243"/>
      <c r="W98" s="367" t="s">
        <v>12</v>
      </c>
      <c r="X98" s="314"/>
      <c r="Y98" s="314"/>
      <c r="Z98" s="314"/>
      <c r="AA98" s="315"/>
      <c r="AB98" s="28"/>
      <c r="AC98"/>
      <c r="AD98"/>
    </row>
    <row r="99" spans="14:30" ht="15" customHeight="1" x14ac:dyDescent="0.3">
      <c r="O99" s="586"/>
      <c r="P99" s="314"/>
      <c r="Q99" s="314"/>
      <c r="R99" s="314"/>
      <c r="S99" s="314"/>
      <c r="T99" s="314"/>
      <c r="U99" s="366" t="s">
        <v>21</v>
      </c>
      <c r="V99" s="244"/>
      <c r="W99" s="314" t="s">
        <v>9</v>
      </c>
      <c r="X99" s="606" t="s">
        <v>10</v>
      </c>
      <c r="Y99" s="368"/>
      <c r="Z99" s="368"/>
      <c r="AA99" s="561"/>
      <c r="AB99" s="28"/>
      <c r="AC99"/>
      <c r="AD99"/>
    </row>
    <row r="100" spans="14:30" ht="15" customHeight="1" x14ac:dyDescent="0.3">
      <c r="O100" s="586"/>
      <c r="P100" s="314"/>
      <c r="Q100" s="314"/>
      <c r="R100" s="606" t="s">
        <v>426</v>
      </c>
      <c r="S100" s="368"/>
      <c r="T100" s="352"/>
      <c r="U100" s="342" t="s">
        <v>7</v>
      </c>
      <c r="V100" s="406" t="str">
        <f>IF(AND(ISNUMBER(Y100), ISNUMBER(V96)), PI()*(Y100/2)^2*V96, "")</f>
        <v/>
      </c>
      <c r="W100" s="588" t="s">
        <v>8</v>
      </c>
      <c r="X100" s="366" t="s">
        <v>246</v>
      </c>
      <c r="Y100" s="246"/>
      <c r="Z100" s="370" t="s">
        <v>249</v>
      </c>
      <c r="AA100" s="561"/>
      <c r="AB100" s="28"/>
      <c r="AC100"/>
      <c r="AD100"/>
    </row>
    <row r="101" spans="14:30" ht="15" customHeight="1" x14ac:dyDescent="0.3">
      <c r="O101" s="586"/>
      <c r="P101" s="314"/>
      <c r="Q101" s="587" t="s">
        <v>428</v>
      </c>
      <c r="R101" s="658"/>
      <c r="S101" s="660"/>
      <c r="T101" s="590" t="s">
        <v>765</v>
      </c>
      <c r="U101" s="366" t="s">
        <v>16</v>
      </c>
      <c r="V101" s="407" t="str">
        <f>IF(AND(ISNUMBER(V97), ISNUMBER(V98)), V97*V98, "")</f>
        <v/>
      </c>
      <c r="W101" s="369" t="s">
        <v>17</v>
      </c>
      <c r="X101" s="366" t="s">
        <v>247</v>
      </c>
      <c r="Y101" s="247"/>
      <c r="Z101" s="370" t="s">
        <v>249</v>
      </c>
      <c r="AA101" s="561"/>
      <c r="AB101" s="82"/>
      <c r="AC101"/>
      <c r="AD101"/>
    </row>
    <row r="102" spans="14:30" ht="15" customHeight="1" x14ac:dyDescent="0.3">
      <c r="O102" s="586"/>
      <c r="P102" s="314"/>
      <c r="Q102" s="342" t="s">
        <v>429</v>
      </c>
      <c r="R102" s="228"/>
      <c r="S102" s="314" t="s">
        <v>427</v>
      </c>
      <c r="T102" s="352"/>
      <c r="U102" s="366" t="s">
        <v>26</v>
      </c>
      <c r="V102" s="212" t="str">
        <f>IF(ISNUMBER(V99), V99, "")</f>
        <v/>
      </c>
      <c r="W102" s="367" t="s">
        <v>8</v>
      </c>
      <c r="X102" s="366" t="s">
        <v>248</v>
      </c>
      <c r="Y102" s="91" t="str">
        <f>IF(AND(ISNUMBER(Y100), ISNUMBER(Y101)), PI()*(Y100/2)^2*Y101, "")</f>
        <v/>
      </c>
      <c r="Z102" s="370" t="s">
        <v>250</v>
      </c>
      <c r="AA102" s="561"/>
      <c r="AB102" s="71"/>
      <c r="AC102"/>
      <c r="AD102"/>
    </row>
    <row r="103" spans="14:30" ht="15" customHeight="1" x14ac:dyDescent="0.3">
      <c r="O103" s="586"/>
      <c r="P103" s="355"/>
      <c r="Q103" s="591"/>
      <c r="R103" s="352"/>
      <c r="S103" s="563"/>
      <c r="T103" s="352"/>
      <c r="U103" s="366" t="s">
        <v>33</v>
      </c>
      <c r="V103" s="408" t="str">
        <f>IF(AND(ISNUMBER(V99), ISNUMBER(V100)), V99/V100, "")</f>
        <v/>
      </c>
      <c r="W103" s="367" t="s">
        <v>34</v>
      </c>
      <c r="X103" s="366"/>
      <c r="Y103" s="372"/>
      <c r="Z103" s="370"/>
      <c r="AA103" s="561"/>
      <c r="AB103" s="71"/>
      <c r="AC103"/>
      <c r="AD103"/>
    </row>
    <row r="104" spans="14:30" ht="15" customHeight="1" x14ac:dyDescent="0.3">
      <c r="N104" s="23"/>
      <c r="O104" s="586"/>
      <c r="P104" s="355"/>
      <c r="Q104" s="591"/>
      <c r="R104" s="352"/>
      <c r="S104" s="563"/>
      <c r="T104" s="352"/>
      <c r="U104" s="366"/>
      <c r="V104" s="371"/>
      <c r="W104" s="367"/>
      <c r="X104" s="366"/>
      <c r="Y104" s="372"/>
      <c r="Z104" s="370"/>
      <c r="AA104" s="561"/>
      <c r="AB104" s="71"/>
      <c r="AC104"/>
      <c r="AD104"/>
    </row>
    <row r="105" spans="14:30" ht="15" customHeight="1" x14ac:dyDescent="0.3">
      <c r="O105" s="586"/>
      <c r="P105" s="368"/>
      <c r="Q105" s="368"/>
      <c r="R105" s="368"/>
      <c r="S105" s="587" t="s">
        <v>245</v>
      </c>
      <c r="T105" s="628"/>
      <c r="U105" s="314"/>
      <c r="V105" s="314"/>
      <c r="W105" s="314"/>
      <c r="X105" s="368"/>
      <c r="Y105" s="368"/>
      <c r="Z105" s="368"/>
      <c r="AA105" s="585"/>
      <c r="AB105" s="75"/>
      <c r="AC105"/>
      <c r="AD105"/>
    </row>
    <row r="106" spans="14:30" ht="15" customHeight="1" x14ac:dyDescent="0.3">
      <c r="O106" s="586"/>
      <c r="P106" s="373" t="s">
        <v>40</v>
      </c>
      <c r="Q106" s="373" t="s">
        <v>807</v>
      </c>
      <c r="R106" s="373" t="s">
        <v>40</v>
      </c>
      <c r="S106" s="373" t="s">
        <v>41</v>
      </c>
      <c r="T106" s="373" t="s">
        <v>42</v>
      </c>
      <c r="U106" s="373" t="s">
        <v>43</v>
      </c>
      <c r="V106" s="373" t="s">
        <v>44</v>
      </c>
      <c r="W106" s="373" t="s">
        <v>45</v>
      </c>
      <c r="X106" s="373" t="s">
        <v>45</v>
      </c>
      <c r="Y106" s="373" t="s">
        <v>45</v>
      </c>
      <c r="Z106" s="373" t="s">
        <v>45</v>
      </c>
      <c r="AA106" s="375"/>
      <c r="AB106" s="75"/>
      <c r="AC106"/>
      <c r="AD106"/>
    </row>
    <row r="107" spans="14:30" ht="15" customHeight="1" x14ac:dyDescent="0.3">
      <c r="O107" s="586"/>
      <c r="P107" s="375" t="s">
        <v>47</v>
      </c>
      <c r="Q107" s="375" t="s">
        <v>808</v>
      </c>
      <c r="R107" s="375" t="s">
        <v>15</v>
      </c>
      <c r="S107" s="375" t="s">
        <v>48</v>
      </c>
      <c r="T107" s="375" t="s">
        <v>49</v>
      </c>
      <c r="U107" s="375" t="s">
        <v>49</v>
      </c>
      <c r="V107" s="375" t="s">
        <v>50</v>
      </c>
      <c r="W107" s="375" t="s">
        <v>51</v>
      </c>
      <c r="X107" s="375" t="s">
        <v>52</v>
      </c>
      <c r="Y107" s="375" t="s">
        <v>53</v>
      </c>
      <c r="Z107" s="375" t="s">
        <v>156</v>
      </c>
      <c r="AA107" s="375"/>
      <c r="AB107" s="84"/>
      <c r="AC107"/>
      <c r="AD107"/>
    </row>
    <row r="108" spans="14:30" ht="15" customHeight="1" thickBot="1" x14ac:dyDescent="0.35">
      <c r="O108" s="586"/>
      <c r="P108" s="376"/>
      <c r="Q108" s="377" t="s">
        <v>56</v>
      </c>
      <c r="R108" s="377" t="s">
        <v>57</v>
      </c>
      <c r="S108" s="377"/>
      <c r="T108" s="377" t="s">
        <v>58</v>
      </c>
      <c r="U108" s="377" t="s">
        <v>58</v>
      </c>
      <c r="V108" s="377" t="s">
        <v>37</v>
      </c>
      <c r="W108" s="377" t="s">
        <v>37</v>
      </c>
      <c r="X108" s="377" t="s">
        <v>59</v>
      </c>
      <c r="Y108" s="377" t="s">
        <v>60</v>
      </c>
      <c r="Z108" s="377" t="s">
        <v>243</v>
      </c>
      <c r="AA108" s="592"/>
      <c r="AB108" s="84"/>
      <c r="AC108"/>
      <c r="AD108"/>
    </row>
    <row r="109" spans="14:30" ht="15" customHeight="1" thickTop="1" x14ac:dyDescent="0.3">
      <c r="O109" s="378"/>
      <c r="P109" s="380" t="s">
        <v>63</v>
      </c>
      <c r="Q109" s="380">
        <v>0</v>
      </c>
      <c r="R109" s="381">
        <v>10</v>
      </c>
      <c r="S109" s="120" t="str">
        <f t="shared" ref="S109:S118" si="8">IF(ISNUMBER(R109), IF(ISNUMBER(U109), TEXT(U109,"ddd"), TEXT(T109, "ddd")), "")</f>
        <v/>
      </c>
      <c r="T109" s="121" t="str">
        <f>IF(AND(ISNUMBER(T105), ISNUMBER(Y95)), T105+R109/Y95,  "")</f>
        <v/>
      </c>
      <c r="U109" s="248"/>
      <c r="V109" s="249"/>
      <c r="W109" s="250"/>
      <c r="X109" s="250"/>
      <c r="Y109" s="251"/>
      <c r="Z109" s="251"/>
      <c r="AA109" s="592"/>
      <c r="AB109" s="84"/>
      <c r="AC109"/>
      <c r="AD109"/>
    </row>
    <row r="110" spans="14:30" ht="15" customHeight="1" x14ac:dyDescent="0.3">
      <c r="N110" s="4"/>
      <c r="O110" s="593"/>
      <c r="P110" s="382" t="s">
        <v>64</v>
      </c>
      <c r="Q110" s="383">
        <v>0.2</v>
      </c>
      <c r="R110" s="384" t="str">
        <f>IF(ISNUMBER(V101), Q110*V101-SUM(R109:R109), "")</f>
        <v/>
      </c>
      <c r="S110" s="122" t="str">
        <f t="shared" si="8"/>
        <v/>
      </c>
      <c r="T110" s="123" t="str">
        <f>IF(AND(ISNUMBER(R110),ISNUMBER(T109)), IF(ISNUMBER(U109),U109+R110/Y95,T109+R110/Y95), "")</f>
        <v/>
      </c>
      <c r="U110" s="629"/>
      <c r="V110" s="630"/>
      <c r="W110" s="631"/>
      <c r="X110" s="632"/>
      <c r="Y110" s="631"/>
      <c r="Z110" s="254"/>
      <c r="AA110" s="594"/>
      <c r="AB110" s="84"/>
      <c r="AC110"/>
      <c r="AD110"/>
    </row>
    <row r="111" spans="14:30" ht="15" customHeight="1" x14ac:dyDescent="0.3">
      <c r="O111" s="586"/>
      <c r="P111" s="382" t="s">
        <v>65</v>
      </c>
      <c r="Q111" s="383">
        <v>0.5</v>
      </c>
      <c r="R111" s="384" t="str">
        <f>IF(ISNUMBER(V101), Q111*V101-SUM(R109:R110), "")</f>
        <v/>
      </c>
      <c r="S111" s="122" t="str">
        <f t="shared" si="8"/>
        <v/>
      </c>
      <c r="T111" s="123" t="str">
        <f>IF(AND(ISNUMBER(R111),ISNUMBER(T110)), IF(ISNUMBER(U110),U110+R111/Y95,T110+R111/Y95), "")</f>
        <v/>
      </c>
      <c r="U111" s="629"/>
      <c r="V111" s="630"/>
      <c r="W111" s="631"/>
      <c r="X111" s="632"/>
      <c r="Y111" s="631"/>
      <c r="Z111" s="254"/>
      <c r="AA111" s="594"/>
      <c r="AB111" s="84"/>
      <c r="AC111"/>
      <c r="AD111"/>
    </row>
    <row r="112" spans="14:30" ht="15" customHeight="1" x14ac:dyDescent="0.3">
      <c r="O112" s="586"/>
      <c r="P112" s="382" t="s">
        <v>66</v>
      </c>
      <c r="Q112" s="383">
        <v>1</v>
      </c>
      <c r="R112" s="384" t="str">
        <f>IF(ISNUMBER(V101), Q112*V101-SUM(R109:R111), "")</f>
        <v/>
      </c>
      <c r="S112" s="122" t="str">
        <f t="shared" si="8"/>
        <v/>
      </c>
      <c r="T112" s="123" t="str">
        <f>IF(AND(ISNUMBER(R112),ISNUMBER(T111)), IF(ISNUMBER(U111),U111+R112/Y95,T111+R112/Y95), "")</f>
        <v/>
      </c>
      <c r="U112" s="629"/>
      <c r="V112" s="630"/>
      <c r="W112" s="631"/>
      <c r="X112" s="632"/>
      <c r="Y112" s="631"/>
      <c r="Z112" s="254"/>
      <c r="AA112" s="594"/>
      <c r="AB112" s="84"/>
      <c r="AC112"/>
      <c r="AD112"/>
    </row>
    <row r="113" spans="15:30" ht="15" customHeight="1" x14ac:dyDescent="0.3">
      <c r="O113" s="586"/>
      <c r="P113" s="382" t="s">
        <v>67</v>
      </c>
      <c r="Q113" s="383">
        <v>1.5</v>
      </c>
      <c r="R113" s="384" t="str">
        <f>IF(ISNUMBER(V101), Q113*V101-SUM(R109:R112), "")</f>
        <v/>
      </c>
      <c r="S113" s="122" t="str">
        <f t="shared" si="8"/>
        <v/>
      </c>
      <c r="T113" s="123" t="str">
        <f>IF(AND(ISNUMBER(R113),ISNUMBER(T112)), IF(ISNUMBER(U112),U112+R113/Y95,T112+R113/Y95), "")</f>
        <v/>
      </c>
      <c r="U113" s="629"/>
      <c r="V113" s="630"/>
      <c r="W113" s="631"/>
      <c r="X113" s="632"/>
      <c r="Y113" s="631"/>
      <c r="Z113" s="255"/>
      <c r="AA113" s="594"/>
      <c r="AB113" s="84"/>
      <c r="AC113"/>
      <c r="AD113"/>
    </row>
    <row r="114" spans="15:30" ht="15" customHeight="1" x14ac:dyDescent="0.3">
      <c r="O114" s="586"/>
      <c r="P114" s="382" t="s">
        <v>68</v>
      </c>
      <c r="Q114" s="383">
        <v>2</v>
      </c>
      <c r="R114" s="384" t="str">
        <f>IF(ISNUMBER(V101), Q114*V101-SUM(R109:R113), "")</f>
        <v/>
      </c>
      <c r="S114" s="122" t="str">
        <f t="shared" si="8"/>
        <v/>
      </c>
      <c r="T114" s="123" t="str">
        <f>IF(AND(ISNUMBER(R114),ISNUMBER(T113)), IF(ISNUMBER(U113),U113+R114/Y95,T113+R114/Y95), "")</f>
        <v/>
      </c>
      <c r="U114" s="629"/>
      <c r="V114" s="630"/>
      <c r="W114" s="631"/>
      <c r="X114" s="632"/>
      <c r="Y114" s="632"/>
      <c r="Z114" s="255"/>
      <c r="AA114" s="594"/>
      <c r="AB114" s="84"/>
      <c r="AC114"/>
      <c r="AD114"/>
    </row>
    <row r="115" spans="15:30" ht="15" customHeight="1" x14ac:dyDescent="0.3">
      <c r="O115" s="586"/>
      <c r="P115" s="382" t="s">
        <v>69</v>
      </c>
      <c r="Q115" s="383">
        <v>4.5</v>
      </c>
      <c r="R115" s="384" t="str">
        <f>IF(ISNUMBER(V101), Q115*V101-SUM(R109:R114), "")</f>
        <v/>
      </c>
      <c r="S115" s="122" t="str">
        <f t="shared" si="8"/>
        <v/>
      </c>
      <c r="T115" s="123" t="str">
        <f>IF(AND(ISNUMBER(R115),ISNUMBER(T114)), IF(ISNUMBER(U114),U114+R115/Y95,T114+R115/Y95), "")</f>
        <v/>
      </c>
      <c r="U115" s="629"/>
      <c r="V115" s="630"/>
      <c r="W115" s="631"/>
      <c r="X115" s="632"/>
      <c r="Y115" s="632"/>
      <c r="Z115" s="255"/>
      <c r="AA115" s="594"/>
      <c r="AB115" s="84"/>
      <c r="AC115"/>
      <c r="AD115"/>
    </row>
    <row r="116" spans="15:30" ht="15" customHeight="1" x14ac:dyDescent="0.3">
      <c r="O116" s="586"/>
      <c r="P116" s="382" t="s">
        <v>70</v>
      </c>
      <c r="Q116" s="383">
        <v>5</v>
      </c>
      <c r="R116" s="384" t="str">
        <f>IF(ISNUMBER(V101), Q116*V101-SUM(R109:R115), "")</f>
        <v/>
      </c>
      <c r="S116" s="122" t="str">
        <f t="shared" si="8"/>
        <v/>
      </c>
      <c r="T116" s="123" t="str">
        <f>IF(AND(ISNUMBER(R116),ISNUMBER(T115)), IF(ISNUMBER(U115),U115+R116/Y95,T115+R116/Y95), "")</f>
        <v/>
      </c>
      <c r="U116" s="629"/>
      <c r="V116" s="630"/>
      <c r="W116" s="631"/>
      <c r="X116" s="632"/>
      <c r="Y116" s="632"/>
      <c r="Z116" s="255"/>
      <c r="AA116" s="594"/>
      <c r="AB116" s="85"/>
      <c r="AC116"/>
      <c r="AD116"/>
    </row>
    <row r="117" spans="15:30" ht="15" customHeight="1" x14ac:dyDescent="0.3">
      <c r="O117" s="378"/>
      <c r="P117" s="382" t="s">
        <v>71</v>
      </c>
      <c r="Q117" s="383">
        <v>9.5</v>
      </c>
      <c r="R117" s="384" t="str">
        <f>IF(ISNUMBER(V101), Q117*V101-SUM(R109:R116), "")</f>
        <v/>
      </c>
      <c r="S117" s="122" t="str">
        <f t="shared" si="8"/>
        <v/>
      </c>
      <c r="T117" s="123" t="str">
        <f>IF(AND(ISNUMBER(R117),ISNUMBER(T116)), IF(ISNUMBER(U116),U116+R117/Y95,T116+R117/Y95), "")</f>
        <v/>
      </c>
      <c r="U117" s="629"/>
      <c r="V117" s="630"/>
      <c r="W117" s="631"/>
      <c r="X117" s="632"/>
      <c r="Y117" s="632"/>
      <c r="Z117" s="255"/>
      <c r="AA117" s="594"/>
      <c r="AC117"/>
      <c r="AD117"/>
    </row>
    <row r="118" spans="15:30" ht="15" customHeight="1" x14ac:dyDescent="0.3">
      <c r="O118" s="586"/>
      <c r="P118" s="385" t="s">
        <v>72</v>
      </c>
      <c r="Q118" s="386">
        <v>10</v>
      </c>
      <c r="R118" s="387" t="str">
        <f>IF(ISNUMBER(V101), Q118*V101-SUM(R109:R117), "")</f>
        <v/>
      </c>
      <c r="S118" s="124" t="str">
        <f t="shared" si="8"/>
        <v/>
      </c>
      <c r="T118" s="125" t="str">
        <f>IF(AND(ISNUMBER(R118),ISNUMBER(T117)), IF(ISNUMBER(U117),U117+R118/Y95,T117+R118/Y95), "")</f>
        <v/>
      </c>
      <c r="U118" s="633"/>
      <c r="V118" s="634"/>
      <c r="W118" s="635"/>
      <c r="X118" s="636"/>
      <c r="Y118" s="637"/>
      <c r="Z118" s="259"/>
      <c r="AA118" s="594"/>
      <c r="AC118"/>
      <c r="AD118"/>
    </row>
    <row r="119" spans="15:30" ht="15" customHeight="1" x14ac:dyDescent="0.3">
      <c r="O119" s="586"/>
      <c r="P119" s="388"/>
      <c r="Q119" s="389"/>
      <c r="R119" s="389"/>
      <c r="S119" s="390"/>
      <c r="T119" s="390"/>
      <c r="U119" s="391"/>
      <c r="V119" s="392"/>
      <c r="W119" s="392"/>
      <c r="X119" s="393"/>
      <c r="Y119" s="393"/>
      <c r="Z119" s="393"/>
      <c r="AA119" s="595"/>
      <c r="AC119"/>
      <c r="AD119"/>
    </row>
    <row r="120" spans="15:30" ht="15" customHeight="1" x14ac:dyDescent="0.3">
      <c r="O120" s="313"/>
      <c r="P120" s="395" t="str">
        <f>P106</f>
        <v>Fraction</v>
      </c>
      <c r="Q120" s="373" t="s">
        <v>24</v>
      </c>
      <c r="R120" s="373" t="s">
        <v>804</v>
      </c>
      <c r="S120" s="373" t="s">
        <v>46</v>
      </c>
      <c r="T120" s="395"/>
      <c r="U120" s="396"/>
      <c r="V120" s="396"/>
      <c r="W120" s="396"/>
      <c r="X120" s="396"/>
      <c r="Y120" s="396"/>
      <c r="Z120" s="373" t="s">
        <v>45</v>
      </c>
      <c r="AA120" s="315"/>
      <c r="AC120"/>
      <c r="AD120"/>
    </row>
    <row r="121" spans="15:30" ht="15" customHeight="1" x14ac:dyDescent="0.3">
      <c r="O121" s="313"/>
      <c r="P121" s="374" t="str">
        <f>P107</f>
        <v>Label</v>
      </c>
      <c r="Q121" s="375" t="s">
        <v>54</v>
      </c>
      <c r="R121" s="375" t="s">
        <v>805</v>
      </c>
      <c r="S121" s="375" t="s">
        <v>55</v>
      </c>
      <c r="T121" s="374"/>
      <c r="U121" s="397"/>
      <c r="V121" s="397"/>
      <c r="W121" s="397"/>
      <c r="X121" s="397"/>
      <c r="Y121" s="397"/>
      <c r="Z121" s="375" t="s">
        <v>54</v>
      </c>
      <c r="AA121" s="315"/>
      <c r="AC121"/>
      <c r="AD121"/>
    </row>
    <row r="122" spans="15:30" ht="15" customHeight="1" thickBot="1" x14ac:dyDescent="0.35">
      <c r="O122" s="313"/>
      <c r="P122" s="398"/>
      <c r="Q122" s="377" t="s">
        <v>37</v>
      </c>
      <c r="R122" s="377" t="s">
        <v>56</v>
      </c>
      <c r="S122" s="377" t="s">
        <v>62</v>
      </c>
      <c r="T122" s="399" t="s">
        <v>314</v>
      </c>
      <c r="U122" s="400"/>
      <c r="V122" s="400"/>
      <c r="W122" s="400"/>
      <c r="X122" s="400"/>
      <c r="Y122" s="400"/>
      <c r="Z122" s="376" t="s">
        <v>61</v>
      </c>
      <c r="AA122" s="315"/>
      <c r="AC122"/>
      <c r="AD122"/>
    </row>
    <row r="123" spans="15:30" ht="15" customHeight="1" thickTop="1" x14ac:dyDescent="0.3">
      <c r="O123" s="313"/>
      <c r="P123" s="401" t="str">
        <f t="shared" ref="P123:P132" si="9">P109</f>
        <v>-</v>
      </c>
      <c r="Q123" s="402" t="str">
        <f t="shared" ref="Q123:Q132" si="10">IF(ISNUMBER(W109), W109-V109, "")</f>
        <v/>
      </c>
      <c r="R123" s="612"/>
      <c r="S123" s="411" t="s">
        <v>63</v>
      </c>
      <c r="T123" s="260" t="s">
        <v>315</v>
      </c>
      <c r="U123" s="596"/>
      <c r="V123" s="260"/>
      <c r="W123" s="260"/>
      <c r="X123" s="260"/>
      <c r="Y123" s="260"/>
      <c r="Z123" s="261"/>
      <c r="AA123" s="315"/>
      <c r="AC123"/>
      <c r="AD123"/>
    </row>
    <row r="124" spans="15:30" ht="15" customHeight="1" x14ac:dyDescent="0.3">
      <c r="O124" s="313"/>
      <c r="P124" s="403" t="str">
        <f t="shared" si="9"/>
        <v>T01</v>
      </c>
      <c r="Q124" s="383" t="str">
        <f t="shared" si="10"/>
        <v/>
      </c>
      <c r="R124" s="613" t="str">
        <f>IF(ISNUMBER(Q124), SUM(Q123:Q124)/V101, "")</f>
        <v/>
      </c>
      <c r="S124" s="452" t="str">
        <f>IF(AND(ISNUMBER(U110), ISNUMBER(Q124)), SUM(Q124:Q124)/(U110-T105), "")</f>
        <v/>
      </c>
      <c r="T124" s="639"/>
      <c r="U124" s="263"/>
      <c r="V124" s="263"/>
      <c r="W124" s="263"/>
      <c r="X124" s="263"/>
      <c r="Y124" s="263"/>
      <c r="Z124" s="264"/>
      <c r="AA124" s="315"/>
      <c r="AC124"/>
      <c r="AD124"/>
    </row>
    <row r="125" spans="15:30" ht="15" customHeight="1" x14ac:dyDescent="0.3">
      <c r="O125" s="313"/>
      <c r="P125" s="403" t="str">
        <f t="shared" si="9"/>
        <v>T02</v>
      </c>
      <c r="Q125" s="383" t="str">
        <f t="shared" si="10"/>
        <v/>
      </c>
      <c r="R125" s="613" t="str">
        <f>IF(ISNUMBER(Q125), SUM(Q123:Q125)/V101, "")</f>
        <v/>
      </c>
      <c r="S125" s="452" t="str">
        <f t="shared" ref="S125:S132" si="11">IF(AND(ISNUMBER(U111), ISNUMBER(Q125)), SUM(Q125:Q125)/(U111-U110), "")</f>
        <v/>
      </c>
      <c r="T125" s="262"/>
      <c r="U125" s="265"/>
      <c r="V125" s="265"/>
      <c r="W125" s="265"/>
      <c r="X125" s="265"/>
      <c r="Y125" s="265"/>
      <c r="Z125" s="264"/>
      <c r="AA125" s="315"/>
      <c r="AC125"/>
      <c r="AD125"/>
    </row>
    <row r="126" spans="15:30" ht="15" customHeight="1" x14ac:dyDescent="0.3">
      <c r="O126" s="313"/>
      <c r="P126" s="403" t="str">
        <f t="shared" si="9"/>
        <v>T03</v>
      </c>
      <c r="Q126" s="383" t="str">
        <f t="shared" si="10"/>
        <v/>
      </c>
      <c r="R126" s="613" t="str">
        <f>IF(ISNUMBER(Q126), SUM(Q123:Q126)/V101, "")</f>
        <v/>
      </c>
      <c r="S126" s="452" t="str">
        <f t="shared" si="11"/>
        <v/>
      </c>
      <c r="T126" s="262"/>
      <c r="U126" s="265"/>
      <c r="V126" s="265"/>
      <c r="W126" s="265"/>
      <c r="X126" s="265"/>
      <c r="Y126" s="265"/>
      <c r="Z126" s="264"/>
      <c r="AA126" s="315"/>
      <c r="AC126"/>
      <c r="AD126"/>
    </row>
    <row r="127" spans="15:30" ht="15" customHeight="1" x14ac:dyDescent="0.3">
      <c r="O127" s="313"/>
      <c r="P127" s="403" t="str">
        <f t="shared" si="9"/>
        <v>T04</v>
      </c>
      <c r="Q127" s="383" t="str">
        <f t="shared" si="10"/>
        <v/>
      </c>
      <c r="R127" s="613" t="str">
        <f>IF(ISNUMBER(Q127), SUM(Q123:Q127)/V101, "")</f>
        <v/>
      </c>
      <c r="S127" s="452" t="str">
        <f t="shared" si="11"/>
        <v/>
      </c>
      <c r="T127" s="266"/>
      <c r="U127" s="267"/>
      <c r="V127" s="267"/>
      <c r="W127" s="267"/>
      <c r="X127" s="267"/>
      <c r="Y127" s="267"/>
      <c r="Z127" s="264"/>
      <c r="AA127" s="315"/>
      <c r="AC127"/>
      <c r="AD127"/>
    </row>
    <row r="128" spans="15:30" ht="15" customHeight="1" x14ac:dyDescent="0.3">
      <c r="O128" s="313"/>
      <c r="P128" s="403" t="str">
        <f t="shared" si="9"/>
        <v>T05</v>
      </c>
      <c r="Q128" s="383" t="str">
        <f t="shared" si="10"/>
        <v/>
      </c>
      <c r="R128" s="613" t="str">
        <f>IF(ISNUMBER(Q128), SUM(Q123:Q128)/V101, "")</f>
        <v/>
      </c>
      <c r="S128" s="452" t="str">
        <f t="shared" si="11"/>
        <v/>
      </c>
      <c r="T128" s="262"/>
      <c r="U128" s="267"/>
      <c r="V128" s="267"/>
      <c r="W128" s="267"/>
      <c r="X128" s="267"/>
      <c r="Y128" s="267"/>
      <c r="Z128" s="264"/>
      <c r="AA128" s="315"/>
      <c r="AC128"/>
      <c r="AD128"/>
    </row>
    <row r="129" spans="15:30" ht="15" customHeight="1" x14ac:dyDescent="0.3">
      <c r="O129" s="313"/>
      <c r="P129" s="403" t="str">
        <f t="shared" si="9"/>
        <v>T06</v>
      </c>
      <c r="Q129" s="383" t="str">
        <f t="shared" si="10"/>
        <v/>
      </c>
      <c r="R129" s="613" t="str">
        <f>IF(ISNUMBER(Q129), SUM(Q123:Q129)/V101, "")</f>
        <v/>
      </c>
      <c r="S129" s="452" t="str">
        <f t="shared" si="11"/>
        <v/>
      </c>
      <c r="T129" s="262"/>
      <c r="U129" s="265"/>
      <c r="V129" s="265"/>
      <c r="W129" s="265"/>
      <c r="X129" s="265"/>
      <c r="Y129" s="265"/>
      <c r="Z129" s="264"/>
      <c r="AA129" s="315"/>
      <c r="AC129"/>
      <c r="AD129"/>
    </row>
    <row r="130" spans="15:30" ht="15" customHeight="1" x14ac:dyDescent="0.3">
      <c r="O130" s="313"/>
      <c r="P130" s="403" t="str">
        <f t="shared" si="9"/>
        <v>T07</v>
      </c>
      <c r="Q130" s="383" t="str">
        <f t="shared" si="10"/>
        <v/>
      </c>
      <c r="R130" s="613" t="str">
        <f>IF(ISNUMBER(Q130), SUM(Q123:Q130)/V101, "")</f>
        <v/>
      </c>
      <c r="S130" s="452" t="str">
        <f t="shared" si="11"/>
        <v/>
      </c>
      <c r="T130" s="262"/>
      <c r="U130" s="265"/>
      <c r="V130" s="265"/>
      <c r="W130" s="265"/>
      <c r="X130" s="265"/>
      <c r="Y130" s="265"/>
      <c r="Z130" s="264"/>
      <c r="AA130" s="315"/>
      <c r="AB130" s="82"/>
      <c r="AD130"/>
    </row>
    <row r="131" spans="15:30" ht="15" customHeight="1" x14ac:dyDescent="0.3">
      <c r="O131" s="313"/>
      <c r="P131" s="403" t="str">
        <f t="shared" si="9"/>
        <v>T08</v>
      </c>
      <c r="Q131" s="383" t="str">
        <f t="shared" si="10"/>
        <v/>
      </c>
      <c r="R131" s="613" t="str">
        <f>IF(ISNUMBER(Q131), SUM(Q123:Q131)/V101, "")</f>
        <v/>
      </c>
      <c r="S131" s="452" t="str">
        <f t="shared" si="11"/>
        <v/>
      </c>
      <c r="T131" s="262"/>
      <c r="U131" s="265"/>
      <c r="V131" s="265"/>
      <c r="W131" s="265"/>
      <c r="X131" s="265"/>
      <c r="Y131" s="265"/>
      <c r="Z131" s="264"/>
      <c r="AA131" s="315"/>
    </row>
    <row r="132" spans="15:30" ht="15" customHeight="1" x14ac:dyDescent="0.3">
      <c r="O132" s="313"/>
      <c r="P132" s="404" t="str">
        <f t="shared" si="9"/>
        <v>T09</v>
      </c>
      <c r="Q132" s="386" t="str">
        <f t="shared" si="10"/>
        <v/>
      </c>
      <c r="R132" s="614" t="str">
        <f>IF(ISNUMBER(Q132), SUM(Q123:Q132)/V101, "")</f>
        <v/>
      </c>
      <c r="S132" s="453" t="str">
        <f t="shared" si="11"/>
        <v/>
      </c>
      <c r="T132" s="268"/>
      <c r="U132" s="269"/>
      <c r="V132" s="269"/>
      <c r="W132" s="269"/>
      <c r="X132" s="269"/>
      <c r="Y132" s="269"/>
      <c r="Z132" s="264"/>
      <c r="AA132" s="315"/>
    </row>
    <row r="133" spans="15:30" ht="15" customHeight="1" x14ac:dyDescent="0.3">
      <c r="O133" s="313"/>
      <c r="P133" s="394"/>
      <c r="Q133" s="394"/>
      <c r="R133" s="607" t="s">
        <v>802</v>
      </c>
      <c r="S133" s="638" t="str">
        <f>IF(ISNUMBER(AVERAGE(S124:S132)), AVERAGE(S124:S132), "")</f>
        <v/>
      </c>
      <c r="T133" s="314"/>
      <c r="U133" s="405"/>
      <c r="V133" s="368"/>
      <c r="W133" s="368"/>
      <c r="X133" s="368"/>
      <c r="Y133" s="368"/>
      <c r="Z133" s="368"/>
      <c r="AA133" s="585"/>
    </row>
    <row r="134" spans="15:30" ht="15" customHeight="1" x14ac:dyDescent="0.3">
      <c r="O134" s="324"/>
      <c r="P134" s="325"/>
      <c r="Q134" s="206" t="s">
        <v>461</v>
      </c>
      <c r="R134" s="325"/>
      <c r="S134" s="325"/>
      <c r="T134" s="325"/>
      <c r="U134" s="325"/>
      <c r="V134" s="325"/>
      <c r="W134" s="325"/>
      <c r="X134" s="325"/>
      <c r="Y134" s="325"/>
      <c r="Z134" s="325"/>
      <c r="AA134" s="326"/>
    </row>
  </sheetData>
  <mergeCells count="7">
    <mergeCell ref="N1:AB1"/>
    <mergeCell ref="N46:AB46"/>
    <mergeCell ref="N91:AB91"/>
    <mergeCell ref="AC1:AS1"/>
    <mergeCell ref="R101:S101"/>
    <mergeCell ref="R11:S11"/>
    <mergeCell ref="R56:S56"/>
  </mergeCells>
  <conditionalFormatting sqref="S19:S28 S64:S73 S109:S118">
    <cfRule type="cellIs" dxfId="38" priority="13" stopIfTrue="1" operator="equal">
      <formula>"Sun"</formula>
    </cfRule>
    <cfRule type="cellIs" dxfId="37" priority="14" stopIfTrue="1" operator="equal">
      <formula>"Sat"</formula>
    </cfRule>
  </conditionalFormatting>
  <conditionalFormatting sqref="R12 R57 R102 Q13:Q14 Q58:Q59 Q103:Q104">
    <cfRule type="notContainsBlanks" dxfId="36" priority="12">
      <formula>LEN(TRIM(Q12))&gt;0</formula>
    </cfRule>
  </conditionalFormatting>
  <dataValidations count="1">
    <dataValidation type="list" allowBlank="1" showInputMessage="1" showErrorMessage="1" sqref="R11:S11 R56:S56 R101:S101" xr:uid="{00000000-0002-0000-0300-000000000000}">
      <formula1>Eluant_Comp</formula1>
    </dataValidation>
  </dataValidations>
  <pageMargins left="0.7" right="0.7" top="0.75" bottom="0.75" header="0.3" footer="0.3"/>
  <pageSetup scale="79" orientation="landscape" horizontalDpi="1200" verticalDpi="1200"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BO49"/>
  <sheetViews>
    <sheetView zoomScale="90" zoomScaleNormal="90" zoomScaleSheetLayoutView="90" workbookViewId="0">
      <selection activeCell="G11" sqref="G11:I11"/>
    </sheetView>
  </sheetViews>
  <sheetFormatPr defaultColWidth="9.109375" defaultRowHeight="14.4" x14ac:dyDescent="0.3"/>
  <cols>
    <col min="1" max="2" width="3.6640625" style="23" customWidth="1"/>
    <col min="3" max="3" width="20.6640625" style="23" customWidth="1"/>
    <col min="4" max="4" width="10.6640625" style="23" customWidth="1"/>
    <col min="5" max="14" width="9.109375" style="23" customWidth="1"/>
    <col min="15" max="58" width="12.6640625" style="23" customWidth="1"/>
    <col min="59" max="59" width="3.6640625" style="23" customWidth="1"/>
    <col min="60" max="16384" width="9.109375" style="23"/>
  </cols>
  <sheetData>
    <row r="1" spans="1:67" s="11" customFormat="1" ht="20.100000000000001" customHeight="1" x14ac:dyDescent="0.35">
      <c r="A1" s="680" t="s">
        <v>776</v>
      </c>
      <c r="B1" s="680"/>
      <c r="C1" s="680"/>
      <c r="D1" s="680"/>
      <c r="E1" s="680"/>
      <c r="F1" s="680"/>
      <c r="G1" s="680"/>
      <c r="H1" s="680"/>
      <c r="I1" s="680"/>
      <c r="J1" s="680"/>
      <c r="K1" s="680"/>
      <c r="L1" s="680"/>
      <c r="M1" s="680"/>
      <c r="N1" s="680"/>
      <c r="O1" s="680"/>
      <c r="P1" s="680"/>
      <c r="Q1" s="680"/>
      <c r="R1" s="680"/>
      <c r="S1" s="680"/>
      <c r="T1" s="680"/>
      <c r="U1" s="723" t="s">
        <v>467</v>
      </c>
      <c r="V1" s="723"/>
      <c r="W1" s="723"/>
      <c r="X1" s="723"/>
      <c r="Y1" s="723"/>
      <c r="Z1" s="723"/>
      <c r="AA1" s="723"/>
      <c r="AB1" s="723"/>
      <c r="AC1" s="723"/>
      <c r="AD1" s="723"/>
      <c r="AE1" s="723"/>
      <c r="AF1" s="723"/>
      <c r="AG1" s="723"/>
      <c r="AH1" s="723"/>
      <c r="AI1" s="723"/>
      <c r="AJ1" s="723"/>
      <c r="AK1" s="723"/>
      <c r="AL1" s="723" t="s">
        <v>467</v>
      </c>
      <c r="AM1" s="723"/>
      <c r="AN1" s="723"/>
      <c r="AO1" s="723"/>
      <c r="AP1" s="723"/>
      <c r="AQ1" s="723"/>
      <c r="AR1" s="723"/>
      <c r="AS1" s="723"/>
      <c r="AT1" s="723"/>
      <c r="AU1" s="723"/>
      <c r="AV1" s="723"/>
      <c r="AW1" s="723"/>
      <c r="AX1" s="723"/>
      <c r="AY1" s="723"/>
      <c r="AZ1" s="723"/>
      <c r="BA1" s="723"/>
      <c r="BB1" s="723"/>
      <c r="BC1" s="547" t="s">
        <v>467</v>
      </c>
      <c r="BD1" s="547"/>
      <c r="BE1" s="547"/>
      <c r="BF1" s="547"/>
      <c r="BG1" s="475"/>
      <c r="BH1" s="14"/>
      <c r="BI1" s="14"/>
      <c r="BJ1" s="14"/>
      <c r="BK1" s="14"/>
      <c r="BL1" s="14"/>
      <c r="BM1" s="14"/>
      <c r="BN1" s="14"/>
      <c r="BO1" s="15"/>
    </row>
    <row r="2" spans="1:67" ht="15" customHeight="1" x14ac:dyDescent="0.3">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row>
    <row r="3" spans="1:67" ht="15" customHeight="1" x14ac:dyDescent="0.3">
      <c r="B3" s="431" t="s">
        <v>778</v>
      </c>
      <c r="C3" s="348"/>
      <c r="D3" s="347"/>
      <c r="E3" s="347"/>
      <c r="F3" s="347"/>
      <c r="G3" s="347"/>
      <c r="H3" s="363"/>
      <c r="I3" s="363"/>
      <c r="J3" s="363" t="s">
        <v>461</v>
      </c>
      <c r="K3" s="363"/>
      <c r="L3" s="363"/>
      <c r="M3" s="347"/>
      <c r="N3" s="347"/>
      <c r="O3" s="477" t="s">
        <v>460</v>
      </c>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row>
    <row r="4" spans="1:67" ht="15" customHeight="1" x14ac:dyDescent="0.3">
      <c r="B4" s="431"/>
      <c r="C4" s="348"/>
      <c r="D4" s="347"/>
      <c r="E4" s="347"/>
      <c r="F4" s="347"/>
      <c r="G4" s="538" t="s">
        <v>779</v>
      </c>
      <c r="H4" s="538" t="s">
        <v>779</v>
      </c>
      <c r="I4" s="538" t="s">
        <v>779</v>
      </c>
      <c r="J4" s="363"/>
      <c r="K4" s="363"/>
      <c r="L4" s="363"/>
      <c r="M4" s="347"/>
      <c r="N4" s="432"/>
      <c r="O4" s="480" t="str">
        <f>O$14</f>
        <v>Al</v>
      </c>
      <c r="P4" s="481" t="str">
        <f t="shared" ref="P4:BF4" si="0">P$14</f>
        <v>Sb</v>
      </c>
      <c r="Q4" s="481" t="str">
        <f t="shared" si="0"/>
        <v>As</v>
      </c>
      <c r="R4" s="481" t="str">
        <f t="shared" si="0"/>
        <v>Ba</v>
      </c>
      <c r="S4" s="481" t="str">
        <f t="shared" si="0"/>
        <v>Be</v>
      </c>
      <c r="T4" s="481" t="str">
        <f t="shared" si="0"/>
        <v>B</v>
      </c>
      <c r="U4" s="481" t="str">
        <f t="shared" si="0"/>
        <v>Cd</v>
      </c>
      <c r="V4" s="481" t="str">
        <f t="shared" si="0"/>
        <v>Ca</v>
      </c>
      <c r="W4" s="481" t="str">
        <f t="shared" si="0"/>
        <v>Cs</v>
      </c>
      <c r="X4" s="481" t="str">
        <f t="shared" si="0"/>
        <v>Cr</v>
      </c>
      <c r="Y4" s="481" t="str">
        <f t="shared" si="0"/>
        <v>Co</v>
      </c>
      <c r="Z4" s="481" t="str">
        <f t="shared" si="0"/>
        <v>Cu</v>
      </c>
      <c r="AA4" s="481" t="str">
        <f t="shared" si="0"/>
        <v>Fe</v>
      </c>
      <c r="AB4" s="481" t="str">
        <f t="shared" si="0"/>
        <v>Pb</v>
      </c>
      <c r="AC4" s="481" t="str">
        <f t="shared" si="0"/>
        <v>Li</v>
      </c>
      <c r="AD4" s="481" t="str">
        <f t="shared" si="0"/>
        <v>Mg</v>
      </c>
      <c r="AE4" s="481" t="str">
        <f t="shared" si="0"/>
        <v>Mn</v>
      </c>
      <c r="AF4" s="481" t="str">
        <f t="shared" si="0"/>
        <v>Mo</v>
      </c>
      <c r="AG4" s="481" t="str">
        <f t="shared" si="0"/>
        <v>Ni</v>
      </c>
      <c r="AH4" s="481" t="str">
        <f t="shared" si="0"/>
        <v>P</v>
      </c>
      <c r="AI4" s="481" t="str">
        <f t="shared" si="0"/>
        <v>K</v>
      </c>
      <c r="AJ4" s="481" t="str">
        <f t="shared" si="0"/>
        <v>Se</v>
      </c>
      <c r="AK4" s="481" t="str">
        <f t="shared" si="0"/>
        <v>Si</v>
      </c>
      <c r="AL4" s="481" t="str">
        <f t="shared" si="0"/>
        <v>Ag</v>
      </c>
      <c r="AM4" s="481" t="str">
        <f t="shared" si="0"/>
        <v>Na</v>
      </c>
      <c r="AN4" s="481" t="str">
        <f t="shared" si="0"/>
        <v>Sr</v>
      </c>
      <c r="AO4" s="481" t="str">
        <f t="shared" si="0"/>
        <v>S</v>
      </c>
      <c r="AP4" s="481" t="str">
        <f t="shared" si="0"/>
        <v>Tl</v>
      </c>
      <c r="AQ4" s="481" t="str">
        <f t="shared" si="0"/>
        <v>Sn</v>
      </c>
      <c r="AR4" s="481" t="str">
        <f t="shared" si="0"/>
        <v>Ti</v>
      </c>
      <c r="AS4" s="481" t="str">
        <f t="shared" si="0"/>
        <v>U</v>
      </c>
      <c r="AT4" s="481" t="str">
        <f t="shared" si="0"/>
        <v>V</v>
      </c>
      <c r="AU4" s="481" t="str">
        <f t="shared" si="0"/>
        <v>Zn</v>
      </c>
      <c r="AV4" s="481" t="str">
        <f t="shared" si="0"/>
        <v>Hg</v>
      </c>
      <c r="AW4" s="481" t="str">
        <f t="shared" si="0"/>
        <v>F</v>
      </c>
      <c r="AX4" s="481" t="str">
        <f t="shared" si="0"/>
        <v>Cl</v>
      </c>
      <c r="AY4" s="481" t="str">
        <f t="shared" si="0"/>
        <v>NO2</v>
      </c>
      <c r="AZ4" s="481" t="str">
        <f t="shared" si="0"/>
        <v>Br</v>
      </c>
      <c r="BA4" s="481" t="str">
        <f t="shared" si="0"/>
        <v>NO3</v>
      </c>
      <c r="BB4" s="481" t="str">
        <f t="shared" si="0"/>
        <v>SO4</v>
      </c>
      <c r="BC4" s="481" t="str">
        <f t="shared" si="0"/>
        <v>PO4</v>
      </c>
      <c r="BD4" s="481" t="str">
        <f t="shared" si="0"/>
        <v>DIC</v>
      </c>
      <c r="BE4" s="481" t="str">
        <f t="shared" si="0"/>
        <v>DOC</v>
      </c>
      <c r="BF4" s="482" t="str">
        <f t="shared" si="0"/>
        <v>NH3</v>
      </c>
      <c r="BG4" s="478"/>
      <c r="BH4" s="17"/>
      <c r="BI4" s="152"/>
    </row>
    <row r="5" spans="1:67" ht="15" customHeight="1" x14ac:dyDescent="0.3">
      <c r="B5" s="431"/>
      <c r="C5" s="537" t="s">
        <v>108</v>
      </c>
      <c r="D5" s="199" t="str">
        <f>IF(ISBLANK('Title Sheet'!C8), "", 'Title Sheet'!C8)</f>
        <v/>
      </c>
      <c r="E5" s="349"/>
      <c r="F5" s="366" t="s">
        <v>459</v>
      </c>
      <c r="G5" s="210" t="str">
        <f>IF(ISNUMBER('Eluate Collection'!Y10), 'Eluate Collection'!Y10, "")</f>
        <v/>
      </c>
      <c r="H5" s="210" t="str">
        <f>IF(ISNUMBER('Eluate Collection'!Y55), 'Eluate Collection'!Y55, "")</f>
        <v/>
      </c>
      <c r="I5" s="210" t="str">
        <f>IF(ISNUMBER('Eluate Collection'!Y100), 'Eluate Collection'!Y100, "")</f>
        <v/>
      </c>
      <c r="J5" s="370" t="s">
        <v>5</v>
      </c>
      <c r="K5" s="363"/>
      <c r="L5" s="363"/>
      <c r="M5" s="363"/>
      <c r="N5" s="609" t="s">
        <v>797</v>
      </c>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78"/>
      <c r="BH5" s="153"/>
      <c r="BI5" s="153"/>
    </row>
    <row r="6" spans="1:67" ht="15" customHeight="1" x14ac:dyDescent="0.3">
      <c r="B6" s="363"/>
      <c r="C6" s="537" t="s">
        <v>109</v>
      </c>
      <c r="D6" s="200" t="str">
        <f>IF(ISBLANK('Title Sheet'!$C$16), "", 'Title Sheet'!$C$16)</f>
        <v/>
      </c>
      <c r="E6" s="433"/>
      <c r="F6" s="366" t="s">
        <v>4</v>
      </c>
      <c r="G6" s="211" t="str">
        <f>IF(ISNUMBER('Eluate Collection'!V6), 'Eluate Collection'!V6, "")</f>
        <v/>
      </c>
      <c r="H6" s="211" t="str">
        <f>IF(ISNUMBER('Eluate Collection'!V51), 'Eluate Collection'!V51, "")</f>
        <v/>
      </c>
      <c r="I6" s="211" t="str">
        <f>IF(ISNUMBER('Eluate Collection'!V96), 'Eluate Collection'!V96, "")</f>
        <v/>
      </c>
      <c r="J6" s="370" t="s">
        <v>5</v>
      </c>
      <c r="K6" s="314"/>
      <c r="L6" s="363"/>
      <c r="M6" s="363"/>
      <c r="N6" s="609" t="s">
        <v>785</v>
      </c>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4"/>
      <c r="AZ6" s="484"/>
      <c r="BA6" s="484"/>
      <c r="BB6" s="484"/>
      <c r="BC6" s="484"/>
      <c r="BD6" s="484"/>
      <c r="BE6" s="484"/>
      <c r="BF6" s="484"/>
      <c r="BG6" s="478"/>
      <c r="BH6" s="151"/>
      <c r="BI6" s="154"/>
    </row>
    <row r="7" spans="1:67" ht="15" customHeight="1" x14ac:dyDescent="0.3">
      <c r="B7" s="363"/>
      <c r="C7" s="537" t="s">
        <v>110</v>
      </c>
      <c r="D7" s="201">
        <v>1314</v>
      </c>
      <c r="E7" s="434"/>
      <c r="F7" s="366" t="s">
        <v>248</v>
      </c>
      <c r="G7" s="212" t="str">
        <f>IF(AND(ISNUMBER(G5), ISNUMBER(G6)), PI()*(G5/2)^2*G6, "")</f>
        <v/>
      </c>
      <c r="H7" s="212" t="str">
        <f>IF(AND(ISNUMBER(H5), ISNUMBER(H6)), PI()*(H5/2)^2*H6, "")</f>
        <v/>
      </c>
      <c r="I7" s="212" t="str">
        <f>IF(AND(ISNUMBER(I5), ISNUMBER(I6)), PI()*(I5/2)^2*I6, "")</f>
        <v/>
      </c>
      <c r="J7" s="370" t="s">
        <v>780</v>
      </c>
      <c r="K7" s="30"/>
      <c r="L7" s="30"/>
      <c r="M7" s="363"/>
      <c r="N7" s="609" t="s">
        <v>786</v>
      </c>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484"/>
      <c r="AU7" s="484"/>
      <c r="AV7" s="484"/>
      <c r="AW7" s="484"/>
      <c r="AX7" s="484"/>
      <c r="AY7" s="484"/>
      <c r="AZ7" s="484"/>
      <c r="BA7" s="484"/>
      <c r="BB7" s="484"/>
      <c r="BC7" s="484"/>
      <c r="BD7" s="484"/>
      <c r="BE7" s="484"/>
      <c r="BF7" s="484"/>
      <c r="BG7" s="478"/>
      <c r="BH7" s="151"/>
      <c r="BI7" s="154"/>
    </row>
    <row r="8" spans="1:67" ht="15" customHeight="1" x14ac:dyDescent="0.3">
      <c r="B8" s="363"/>
      <c r="C8" s="30"/>
      <c r="D8" s="30"/>
      <c r="E8" s="352"/>
      <c r="F8" s="435" t="s">
        <v>458</v>
      </c>
      <c r="G8" s="91" t="str">
        <f>IF(ISTEXT('Eluate Collection'!R11), 'Eluate Collection'!R11, "")</f>
        <v/>
      </c>
      <c r="H8" s="91" t="str">
        <f>IF(ISTEXT('Eluate Collection'!R56), 'Eluate Collection'!R56, "")</f>
        <v/>
      </c>
      <c r="I8" s="91" t="str">
        <f>IF(ISTEXT('Eluate Collection'!R101), 'Eluate Collection'!R101, "")</f>
        <v/>
      </c>
      <c r="J8" s="30"/>
      <c r="K8" s="30"/>
      <c r="L8" s="30"/>
      <c r="M8" s="363"/>
      <c r="N8" s="610" t="s">
        <v>462</v>
      </c>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78"/>
      <c r="BH8" s="155"/>
      <c r="BI8" s="8"/>
    </row>
    <row r="9" spans="1:67" ht="15" customHeight="1" x14ac:dyDescent="0.3">
      <c r="B9" s="363"/>
      <c r="C9" s="363"/>
      <c r="D9" s="363"/>
      <c r="E9" s="363"/>
      <c r="F9" s="347"/>
      <c r="G9" s="347"/>
      <c r="H9" s="363"/>
      <c r="I9" s="363"/>
      <c r="J9" s="30"/>
      <c r="K9" s="30"/>
      <c r="L9" s="30"/>
      <c r="M9" s="363"/>
      <c r="N9" s="610" t="s">
        <v>327</v>
      </c>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6"/>
      <c r="AZ9" s="486"/>
      <c r="BA9" s="486"/>
      <c r="BB9" s="486"/>
      <c r="BC9" s="486"/>
      <c r="BD9" s="486"/>
      <c r="BE9" s="486"/>
      <c r="BF9" s="486"/>
      <c r="BG9" s="478"/>
      <c r="BH9" s="156"/>
      <c r="BI9" s="17"/>
    </row>
    <row r="10" spans="1:67" ht="15" customHeight="1" x14ac:dyDescent="0.3">
      <c r="B10" s="363"/>
      <c r="C10" s="351"/>
      <c r="D10" s="356"/>
      <c r="E10" s="352"/>
      <c r="F10" s="363"/>
      <c r="G10" s="353"/>
      <c r="H10" s="363"/>
      <c r="I10" s="363"/>
      <c r="J10" s="30"/>
      <c r="K10" s="30"/>
      <c r="L10" s="30"/>
      <c r="M10" s="363"/>
      <c r="N10" s="347"/>
      <c r="O10" s="272"/>
      <c r="P10" s="272"/>
      <c r="Q10" s="487"/>
      <c r="R10" s="338"/>
      <c r="S10" s="479"/>
      <c r="T10" s="479"/>
      <c r="U10" s="487"/>
      <c r="V10" s="487"/>
      <c r="W10" s="487"/>
      <c r="X10" s="479"/>
      <c r="Y10" s="479"/>
      <c r="Z10" s="487"/>
      <c r="AA10" s="487"/>
      <c r="AB10" s="487"/>
      <c r="AC10" s="479"/>
      <c r="AD10" s="487"/>
      <c r="AE10" s="479"/>
      <c r="AF10" s="479"/>
      <c r="AG10" s="479"/>
      <c r="AH10" s="479"/>
      <c r="AI10" s="487"/>
      <c r="AJ10" s="487"/>
      <c r="AK10" s="487"/>
      <c r="AL10" s="487"/>
      <c r="AM10" s="487"/>
      <c r="AN10" s="487"/>
      <c r="AO10" s="487"/>
      <c r="AP10" s="479"/>
      <c r="AQ10" s="479"/>
      <c r="AR10" s="479"/>
      <c r="AS10" s="479"/>
      <c r="AT10" s="338"/>
      <c r="AU10" s="338"/>
      <c r="AV10" s="338"/>
      <c r="AW10" s="338"/>
      <c r="AX10" s="338"/>
      <c r="AY10" s="488"/>
      <c r="AZ10" s="338"/>
      <c r="BA10" s="338"/>
      <c r="BB10" s="338"/>
      <c r="BC10" s="338"/>
      <c r="BD10" s="338"/>
      <c r="BE10" s="338"/>
      <c r="BF10" s="338"/>
      <c r="BG10" s="478"/>
    </row>
    <row r="11" spans="1:67" ht="15" customHeight="1" x14ac:dyDescent="0.3">
      <c r="B11" s="363"/>
      <c r="C11" s="351"/>
      <c r="D11" s="356"/>
      <c r="E11" s="352"/>
      <c r="F11" s="351" t="s">
        <v>445</v>
      </c>
      <c r="G11" s="717"/>
      <c r="H11" s="718"/>
      <c r="I11" s="719"/>
      <c r="J11" s="435"/>
      <c r="K11" s="436"/>
      <c r="L11" s="436"/>
      <c r="M11" s="363"/>
      <c r="N11" s="30"/>
      <c r="O11" s="458">
        <f t="shared" ref="O11:BF11" si="1">(COLUMN()-COLUMN($N$12))</f>
        <v>1</v>
      </c>
      <c r="P11" s="458">
        <f t="shared" si="1"/>
        <v>2</v>
      </c>
      <c r="Q11" s="458">
        <f t="shared" si="1"/>
        <v>3</v>
      </c>
      <c r="R11" s="458">
        <f t="shared" si="1"/>
        <v>4</v>
      </c>
      <c r="S11" s="458">
        <f t="shared" si="1"/>
        <v>5</v>
      </c>
      <c r="T11" s="458">
        <f t="shared" si="1"/>
        <v>6</v>
      </c>
      <c r="U11" s="458">
        <f t="shared" si="1"/>
        <v>7</v>
      </c>
      <c r="V11" s="458">
        <f t="shared" si="1"/>
        <v>8</v>
      </c>
      <c r="W11" s="458">
        <f t="shared" si="1"/>
        <v>9</v>
      </c>
      <c r="X11" s="458">
        <f t="shared" si="1"/>
        <v>10</v>
      </c>
      <c r="Y11" s="458">
        <f t="shared" si="1"/>
        <v>11</v>
      </c>
      <c r="Z11" s="458">
        <f t="shared" si="1"/>
        <v>12</v>
      </c>
      <c r="AA11" s="458">
        <f t="shared" si="1"/>
        <v>13</v>
      </c>
      <c r="AB11" s="458">
        <f t="shared" si="1"/>
        <v>14</v>
      </c>
      <c r="AC11" s="458">
        <f t="shared" si="1"/>
        <v>15</v>
      </c>
      <c r="AD11" s="458">
        <f t="shared" si="1"/>
        <v>16</v>
      </c>
      <c r="AE11" s="458">
        <f t="shared" si="1"/>
        <v>17</v>
      </c>
      <c r="AF11" s="458">
        <f t="shared" si="1"/>
        <v>18</v>
      </c>
      <c r="AG11" s="458">
        <f t="shared" si="1"/>
        <v>19</v>
      </c>
      <c r="AH11" s="458">
        <f t="shared" si="1"/>
        <v>20</v>
      </c>
      <c r="AI11" s="458">
        <f t="shared" si="1"/>
        <v>21</v>
      </c>
      <c r="AJ11" s="458">
        <f t="shared" si="1"/>
        <v>22</v>
      </c>
      <c r="AK11" s="458">
        <f t="shared" si="1"/>
        <v>23</v>
      </c>
      <c r="AL11" s="458"/>
      <c r="AM11" s="458">
        <f t="shared" si="1"/>
        <v>25</v>
      </c>
      <c r="AN11" s="458">
        <f t="shared" si="1"/>
        <v>26</v>
      </c>
      <c r="AO11" s="458">
        <f t="shared" si="1"/>
        <v>27</v>
      </c>
      <c r="AP11" s="458">
        <f t="shared" si="1"/>
        <v>28</v>
      </c>
      <c r="AQ11" s="458">
        <f t="shared" si="1"/>
        <v>29</v>
      </c>
      <c r="AR11" s="458">
        <f t="shared" si="1"/>
        <v>30</v>
      </c>
      <c r="AS11" s="458">
        <f t="shared" si="1"/>
        <v>31</v>
      </c>
      <c r="AT11" s="458">
        <f t="shared" si="1"/>
        <v>32</v>
      </c>
      <c r="AU11" s="458">
        <f t="shared" si="1"/>
        <v>33</v>
      </c>
      <c r="AV11" s="458">
        <f t="shared" si="1"/>
        <v>34</v>
      </c>
      <c r="AW11" s="458">
        <f t="shared" si="1"/>
        <v>35</v>
      </c>
      <c r="AX11" s="458">
        <f t="shared" si="1"/>
        <v>36</v>
      </c>
      <c r="AY11" s="458">
        <f t="shared" si="1"/>
        <v>37</v>
      </c>
      <c r="AZ11" s="458">
        <f t="shared" si="1"/>
        <v>38</v>
      </c>
      <c r="BA11" s="458">
        <f t="shared" si="1"/>
        <v>39</v>
      </c>
      <c r="BB11" s="458">
        <f t="shared" si="1"/>
        <v>40</v>
      </c>
      <c r="BC11" s="458">
        <f t="shared" si="1"/>
        <v>41</v>
      </c>
      <c r="BD11" s="458">
        <f t="shared" si="1"/>
        <v>42</v>
      </c>
      <c r="BE11" s="458">
        <f t="shared" si="1"/>
        <v>43</v>
      </c>
      <c r="BF11" s="458">
        <f t="shared" si="1"/>
        <v>44</v>
      </c>
      <c r="BG11" s="489"/>
    </row>
    <row r="12" spans="1:67" ht="15" customHeight="1" x14ac:dyDescent="0.3">
      <c r="B12" s="363"/>
      <c r="C12" s="363"/>
      <c r="D12" s="363"/>
      <c r="E12" s="355"/>
      <c r="F12" s="363"/>
      <c r="G12" s="363"/>
      <c r="H12" s="363"/>
      <c r="I12" s="363"/>
      <c r="J12" s="437"/>
      <c r="K12" s="438"/>
      <c r="L12" s="347"/>
      <c r="M12" s="347"/>
      <c r="N12" s="439" t="s">
        <v>111</v>
      </c>
      <c r="O12" s="724" t="s">
        <v>463</v>
      </c>
      <c r="P12" s="725"/>
      <c r="Q12" s="725"/>
      <c r="R12" s="725"/>
      <c r="S12" s="725"/>
      <c r="T12" s="725"/>
      <c r="U12" s="725"/>
      <c r="V12" s="725"/>
      <c r="W12" s="725"/>
      <c r="X12" s="725"/>
      <c r="Y12" s="725"/>
      <c r="Z12" s="725" t="s">
        <v>463</v>
      </c>
      <c r="AA12" s="725"/>
      <c r="AB12" s="725"/>
      <c r="AC12" s="725"/>
      <c r="AD12" s="725"/>
      <c r="AE12" s="725"/>
      <c r="AF12" s="725"/>
      <c r="AG12" s="725"/>
      <c r="AH12" s="725"/>
      <c r="AI12" s="725"/>
      <c r="AJ12" s="725"/>
      <c r="AK12" s="725" t="s">
        <v>463</v>
      </c>
      <c r="AL12" s="725"/>
      <c r="AM12" s="725"/>
      <c r="AN12" s="725"/>
      <c r="AO12" s="725"/>
      <c r="AP12" s="725"/>
      <c r="AQ12" s="725"/>
      <c r="AR12" s="725"/>
      <c r="AS12" s="725"/>
      <c r="AT12" s="725"/>
      <c r="AU12" s="725"/>
      <c r="AV12" s="725"/>
      <c r="AW12" s="720" t="s">
        <v>464</v>
      </c>
      <c r="AX12" s="721"/>
      <c r="AY12" s="721"/>
      <c r="AZ12" s="721"/>
      <c r="BA12" s="721"/>
      <c r="BB12" s="721"/>
      <c r="BC12" s="721"/>
      <c r="BD12" s="721"/>
      <c r="BE12" s="721"/>
      <c r="BF12" s="722"/>
      <c r="BG12" s="478"/>
    </row>
    <row r="13" spans="1:67" ht="15" customHeight="1" x14ac:dyDescent="0.3">
      <c r="B13" s="440"/>
      <c r="C13" s="440"/>
      <c r="D13" s="365"/>
      <c r="E13" s="532" t="s">
        <v>112</v>
      </c>
      <c r="F13" s="532" t="s">
        <v>113</v>
      </c>
      <c r="G13" s="532" t="s">
        <v>239</v>
      </c>
      <c r="H13" s="532" t="s">
        <v>430</v>
      </c>
      <c r="I13" s="532" t="s">
        <v>766</v>
      </c>
      <c r="J13" s="532" t="s">
        <v>766</v>
      </c>
      <c r="K13" s="532" t="s">
        <v>767</v>
      </c>
      <c r="L13" s="532" t="s">
        <v>45</v>
      </c>
      <c r="M13" s="532" t="s">
        <v>45</v>
      </c>
      <c r="N13" s="459" t="s">
        <v>45</v>
      </c>
      <c r="O13" s="460" t="s">
        <v>114</v>
      </c>
      <c r="P13" s="461" t="s">
        <v>115</v>
      </c>
      <c r="Q13" s="461" t="s">
        <v>116</v>
      </c>
      <c r="R13" s="461" t="s">
        <v>117</v>
      </c>
      <c r="S13" s="461" t="s">
        <v>118</v>
      </c>
      <c r="T13" s="461" t="s">
        <v>119</v>
      </c>
      <c r="U13" s="461" t="s">
        <v>120</v>
      </c>
      <c r="V13" s="461" t="s">
        <v>121</v>
      </c>
      <c r="W13" s="461" t="s">
        <v>122</v>
      </c>
      <c r="X13" s="461" t="s">
        <v>123</v>
      </c>
      <c r="Y13" s="461" t="s">
        <v>124</v>
      </c>
      <c r="Z13" s="461" t="s">
        <v>125</v>
      </c>
      <c r="AA13" s="461" t="s">
        <v>126</v>
      </c>
      <c r="AB13" s="461" t="s">
        <v>127</v>
      </c>
      <c r="AC13" s="461" t="s">
        <v>128</v>
      </c>
      <c r="AD13" s="461" t="s">
        <v>129</v>
      </c>
      <c r="AE13" s="462" t="s">
        <v>130</v>
      </c>
      <c r="AF13" s="461" t="s">
        <v>131</v>
      </c>
      <c r="AG13" s="461" t="s">
        <v>132</v>
      </c>
      <c r="AH13" s="461" t="s">
        <v>452</v>
      </c>
      <c r="AI13" s="461" t="s">
        <v>133</v>
      </c>
      <c r="AJ13" s="461" t="s">
        <v>134</v>
      </c>
      <c r="AK13" s="461" t="s">
        <v>135</v>
      </c>
      <c r="AL13" s="461" t="s">
        <v>465</v>
      </c>
      <c r="AM13" s="461" t="s">
        <v>136</v>
      </c>
      <c r="AN13" s="461" t="s">
        <v>137</v>
      </c>
      <c r="AO13" s="461" t="s">
        <v>454</v>
      </c>
      <c r="AP13" s="462" t="s">
        <v>138</v>
      </c>
      <c r="AQ13" s="462" t="s">
        <v>139</v>
      </c>
      <c r="AR13" s="462" t="s">
        <v>140</v>
      </c>
      <c r="AS13" s="462" t="s">
        <v>141</v>
      </c>
      <c r="AT13" s="461" t="s">
        <v>142</v>
      </c>
      <c r="AU13" s="461" t="s">
        <v>143</v>
      </c>
      <c r="AV13" s="461" t="s">
        <v>144</v>
      </c>
      <c r="AW13" s="461" t="s">
        <v>145</v>
      </c>
      <c r="AX13" s="463" t="s">
        <v>146</v>
      </c>
      <c r="AY13" s="462" t="s">
        <v>148</v>
      </c>
      <c r="AZ13" s="463" t="s">
        <v>147</v>
      </c>
      <c r="BA13" s="463" t="s">
        <v>149</v>
      </c>
      <c r="BB13" s="463" t="s">
        <v>151</v>
      </c>
      <c r="BC13" s="463" t="s">
        <v>150</v>
      </c>
      <c r="BD13" s="462" t="s">
        <v>152</v>
      </c>
      <c r="BE13" s="461" t="s">
        <v>153</v>
      </c>
      <c r="BF13" s="464" t="s">
        <v>447</v>
      </c>
      <c r="BG13" s="490"/>
    </row>
    <row r="14" spans="1:67" s="16" customFormat="1" ht="15" customHeight="1" x14ac:dyDescent="0.3">
      <c r="A14" s="23"/>
      <c r="B14" s="440"/>
      <c r="C14" s="440"/>
      <c r="D14" s="532" t="s">
        <v>40</v>
      </c>
      <c r="E14" s="532" t="s">
        <v>154</v>
      </c>
      <c r="F14" s="532" t="s">
        <v>155</v>
      </c>
      <c r="G14" s="532" t="s">
        <v>240</v>
      </c>
      <c r="H14" s="532" t="s">
        <v>431</v>
      </c>
      <c r="I14" s="533" t="s">
        <v>242</v>
      </c>
      <c r="J14" s="533" t="s">
        <v>241</v>
      </c>
      <c r="K14" s="533" t="s">
        <v>241</v>
      </c>
      <c r="L14" s="532" t="s">
        <v>52</v>
      </c>
      <c r="M14" s="532" t="s">
        <v>53</v>
      </c>
      <c r="N14" s="459" t="s">
        <v>156</v>
      </c>
      <c r="O14" s="460" t="s">
        <v>157</v>
      </c>
      <c r="P14" s="461" t="s">
        <v>158</v>
      </c>
      <c r="Q14" s="461" t="s">
        <v>159</v>
      </c>
      <c r="R14" s="461" t="s">
        <v>160</v>
      </c>
      <c r="S14" s="465" t="s">
        <v>161</v>
      </c>
      <c r="T14" s="461" t="s">
        <v>162</v>
      </c>
      <c r="U14" s="465" t="s">
        <v>163</v>
      </c>
      <c r="V14" s="461" t="s">
        <v>164</v>
      </c>
      <c r="W14" s="465" t="s">
        <v>165</v>
      </c>
      <c r="X14" s="465" t="s">
        <v>166</v>
      </c>
      <c r="Y14" s="465" t="s">
        <v>167</v>
      </c>
      <c r="Z14" s="461" t="s">
        <v>168</v>
      </c>
      <c r="AA14" s="461" t="s">
        <v>169</v>
      </c>
      <c r="AB14" s="465" t="s">
        <v>103</v>
      </c>
      <c r="AC14" s="465" t="s">
        <v>104</v>
      </c>
      <c r="AD14" s="461" t="s">
        <v>170</v>
      </c>
      <c r="AE14" s="466" t="s">
        <v>171</v>
      </c>
      <c r="AF14" s="465" t="s">
        <v>172</v>
      </c>
      <c r="AG14" s="465" t="s">
        <v>173</v>
      </c>
      <c r="AH14" s="465" t="s">
        <v>453</v>
      </c>
      <c r="AI14" s="461" t="s">
        <v>174</v>
      </c>
      <c r="AJ14" s="461" t="s">
        <v>175</v>
      </c>
      <c r="AK14" s="461" t="s">
        <v>176</v>
      </c>
      <c r="AL14" s="461" t="s">
        <v>466</v>
      </c>
      <c r="AM14" s="461" t="s">
        <v>177</v>
      </c>
      <c r="AN14" s="465" t="s">
        <v>178</v>
      </c>
      <c r="AO14" s="465" t="s">
        <v>455</v>
      </c>
      <c r="AP14" s="466" t="s">
        <v>179</v>
      </c>
      <c r="AQ14" s="466" t="s">
        <v>105</v>
      </c>
      <c r="AR14" s="466" t="s">
        <v>106</v>
      </c>
      <c r="AS14" s="466" t="s">
        <v>107</v>
      </c>
      <c r="AT14" s="465" t="s">
        <v>180</v>
      </c>
      <c r="AU14" s="465" t="s">
        <v>181</v>
      </c>
      <c r="AV14" s="465" t="s">
        <v>81</v>
      </c>
      <c r="AW14" s="465" t="s">
        <v>182</v>
      </c>
      <c r="AX14" s="467" t="s">
        <v>183</v>
      </c>
      <c r="AY14" s="462" t="s">
        <v>185</v>
      </c>
      <c r="AZ14" s="467" t="s">
        <v>184</v>
      </c>
      <c r="BA14" s="467" t="s">
        <v>186</v>
      </c>
      <c r="BB14" s="467" t="s">
        <v>188</v>
      </c>
      <c r="BC14" s="467" t="s">
        <v>187</v>
      </c>
      <c r="BD14" s="466" t="s">
        <v>189</v>
      </c>
      <c r="BE14" s="465" t="s">
        <v>190</v>
      </c>
      <c r="BF14" s="468" t="s">
        <v>448</v>
      </c>
      <c r="BG14" s="490"/>
    </row>
    <row r="15" spans="1:67" ht="15" customHeight="1" x14ac:dyDescent="0.3">
      <c r="A15" s="16"/>
      <c r="B15" s="441"/>
      <c r="C15" s="442" t="s">
        <v>191</v>
      </c>
      <c r="D15" s="442" t="s">
        <v>244</v>
      </c>
      <c r="E15" s="442" t="s">
        <v>317</v>
      </c>
      <c r="F15" s="443" t="s">
        <v>769</v>
      </c>
      <c r="G15" s="443" t="s">
        <v>318</v>
      </c>
      <c r="H15" s="379" t="s">
        <v>768</v>
      </c>
      <c r="I15" s="442" t="s">
        <v>319</v>
      </c>
      <c r="J15" s="442" t="s">
        <v>319</v>
      </c>
      <c r="K15" s="534" t="s">
        <v>320</v>
      </c>
      <c r="L15" s="442" t="s">
        <v>321</v>
      </c>
      <c r="M15" s="442" t="s">
        <v>322</v>
      </c>
      <c r="N15" s="469" t="s">
        <v>323</v>
      </c>
      <c r="O15" s="470" t="s">
        <v>192</v>
      </c>
      <c r="P15" s="471" t="s">
        <v>192</v>
      </c>
      <c r="Q15" s="471" t="s">
        <v>192</v>
      </c>
      <c r="R15" s="471" t="s">
        <v>192</v>
      </c>
      <c r="S15" s="471" t="s">
        <v>192</v>
      </c>
      <c r="T15" s="471" t="s">
        <v>192</v>
      </c>
      <c r="U15" s="471" t="s">
        <v>192</v>
      </c>
      <c r="V15" s="471" t="s">
        <v>192</v>
      </c>
      <c r="W15" s="471" t="s">
        <v>192</v>
      </c>
      <c r="X15" s="471" t="s">
        <v>192</v>
      </c>
      <c r="Y15" s="471" t="s">
        <v>192</v>
      </c>
      <c r="Z15" s="471" t="s">
        <v>192</v>
      </c>
      <c r="AA15" s="471" t="s">
        <v>192</v>
      </c>
      <c r="AB15" s="471" t="s">
        <v>192</v>
      </c>
      <c r="AC15" s="471" t="s">
        <v>192</v>
      </c>
      <c r="AD15" s="471" t="s">
        <v>192</v>
      </c>
      <c r="AE15" s="472" t="s">
        <v>192</v>
      </c>
      <c r="AF15" s="471" t="s">
        <v>192</v>
      </c>
      <c r="AG15" s="471" t="s">
        <v>192</v>
      </c>
      <c r="AH15" s="471" t="s">
        <v>192</v>
      </c>
      <c r="AI15" s="471" t="s">
        <v>192</v>
      </c>
      <c r="AJ15" s="471" t="s">
        <v>192</v>
      </c>
      <c r="AK15" s="471" t="s">
        <v>192</v>
      </c>
      <c r="AL15" s="471" t="s">
        <v>192</v>
      </c>
      <c r="AM15" s="471" t="s">
        <v>192</v>
      </c>
      <c r="AN15" s="471" t="s">
        <v>192</v>
      </c>
      <c r="AO15" s="471" t="s">
        <v>192</v>
      </c>
      <c r="AP15" s="472" t="s">
        <v>192</v>
      </c>
      <c r="AQ15" s="472" t="s">
        <v>192</v>
      </c>
      <c r="AR15" s="472" t="s">
        <v>192</v>
      </c>
      <c r="AS15" s="472" t="s">
        <v>192</v>
      </c>
      <c r="AT15" s="471" t="s">
        <v>192</v>
      </c>
      <c r="AU15" s="471" t="s">
        <v>192</v>
      </c>
      <c r="AV15" s="473" t="s">
        <v>192</v>
      </c>
      <c r="AW15" s="473" t="s">
        <v>192</v>
      </c>
      <c r="AX15" s="473" t="s">
        <v>192</v>
      </c>
      <c r="AY15" s="473" t="s">
        <v>192</v>
      </c>
      <c r="AZ15" s="473" t="s">
        <v>192</v>
      </c>
      <c r="BA15" s="473" t="s">
        <v>192</v>
      </c>
      <c r="BB15" s="473" t="s">
        <v>192</v>
      </c>
      <c r="BC15" s="473" t="s">
        <v>192</v>
      </c>
      <c r="BD15" s="473" t="s">
        <v>192</v>
      </c>
      <c r="BE15" s="473" t="s">
        <v>192</v>
      </c>
      <c r="BF15" s="474" t="s">
        <v>192</v>
      </c>
      <c r="BG15" s="491"/>
    </row>
    <row r="16" spans="1:67" ht="15" customHeight="1" x14ac:dyDescent="0.3">
      <c r="B16" s="363"/>
      <c r="C16" s="177" t="str">
        <f>IF(D$6="", "", CONCATENATE('Eluate Collection'!R$7,"-",D$7,"-T0",D16,"-", 'Eluate Collection'!R$8))</f>
        <v/>
      </c>
      <c r="D16" s="178" t="str">
        <f>IF(D$6="", "", 1)</f>
        <v/>
      </c>
      <c r="E16" s="179" t="str">
        <f>IF(ISNUMBER('Eluate Collection'!V7), 'Eluate Collection'!V7, "")</f>
        <v/>
      </c>
      <c r="F16" s="180" t="str">
        <f>IF(ISNUMBER('Eluate Collection'!V8), 1-'Eluate Collection'!V8, "")</f>
        <v/>
      </c>
      <c r="G16" s="652" t="str">
        <f>IF(ISNUMBER('Eluate Collection'!S34), 'Eluate Collection'!S34, "")</f>
        <v/>
      </c>
      <c r="H16" s="202" t="str">
        <f>IF(ISNUMBER('Eluate Collection'!R12), 'Eluate Collection'!R12, "")</f>
        <v/>
      </c>
      <c r="I16" s="645" t="str">
        <f>IF(ISNUMBER(J16), 0, "")</f>
        <v/>
      </c>
      <c r="J16" s="646" t="str">
        <f>IF(ISNUMBER('Eluate Collection'!$Q34), SUM('Eluate Collection'!$Q$33:'Eluate Collection'!$Q34), "")</f>
        <v/>
      </c>
      <c r="K16" s="447" t="str">
        <f t="shared" ref="K16:K42" si="2">IF(ISNUMBER(J16/(E16*(1-F16))), J16/(E16*(1-F16)), "")</f>
        <v/>
      </c>
      <c r="L16" s="196" t="str">
        <f>IF(ISNUMBER('Eluate Collection'!X20), 'Eluate Collection'!X20, "")</f>
        <v/>
      </c>
      <c r="M16" s="179" t="str">
        <f>IF(ISNUMBER('Eluate Collection'!Y20), 'Eluate Collection'!Y20, "")</f>
        <v/>
      </c>
      <c r="N16" s="192" t="str">
        <f>IF(ISNUMBER('Eluate Collection'!Z20), 'Eluate Collection'!Z20, "")</f>
        <v/>
      </c>
      <c r="O16" s="492"/>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493"/>
      <c r="AP16" s="493"/>
      <c r="AQ16" s="493"/>
      <c r="AR16" s="493"/>
      <c r="AS16" s="493"/>
      <c r="AT16" s="493"/>
      <c r="AU16" s="493"/>
      <c r="AV16" s="493"/>
      <c r="AW16" s="493"/>
      <c r="AX16" s="493"/>
      <c r="AY16" s="493"/>
      <c r="AZ16" s="493"/>
      <c r="BA16" s="493"/>
      <c r="BB16" s="493"/>
      <c r="BC16" s="493"/>
      <c r="BD16" s="493"/>
      <c r="BE16" s="493"/>
      <c r="BF16" s="494"/>
      <c r="BG16" s="478"/>
    </row>
    <row r="17" spans="2:59" ht="15" customHeight="1" x14ac:dyDescent="0.3">
      <c r="B17" s="363"/>
      <c r="C17" s="181" t="str">
        <f>IF(D$6="", "", CONCATENATE('Eluate Collection'!R$7,"-",D$7,"-T0",D17,"-", 'Eluate Collection'!R$8))</f>
        <v/>
      </c>
      <c r="D17" s="182" t="str">
        <f>IF(D$6="", "", 2)</f>
        <v/>
      </c>
      <c r="E17" s="183" t="str">
        <f>IF(ISNUMBER(E16), E16, "")</f>
        <v/>
      </c>
      <c r="F17" s="184" t="str">
        <f>IF(ISNUMBER(F16), F16, "")</f>
        <v/>
      </c>
      <c r="G17" s="653" t="str">
        <f>IF(ISNUMBER('Eluate Collection'!S35), 'Eluate Collection'!S35, "")</f>
        <v/>
      </c>
      <c r="H17" s="444"/>
      <c r="I17" s="647" t="str">
        <f>J16</f>
        <v/>
      </c>
      <c r="J17" s="648" t="str">
        <f>IF(ISNUMBER('Eluate Collection'!$Q35), SUM('Eluate Collection'!$Q$33:'Eluate Collection'!$Q35), "")</f>
        <v/>
      </c>
      <c r="K17" s="448" t="str">
        <f t="shared" si="2"/>
        <v/>
      </c>
      <c r="L17" s="197" t="str">
        <f>IF(ISNUMBER('Eluate Collection'!X21), 'Eluate Collection'!X21, "")</f>
        <v/>
      </c>
      <c r="M17" s="183" t="str">
        <f>IF(ISNUMBER('Eluate Collection'!Y21), 'Eluate Collection'!Y21, "")</f>
        <v/>
      </c>
      <c r="N17" s="193" t="str">
        <f>IF(ISNUMBER('Eluate Collection'!Z21), 'Eluate Collection'!Z21, "")</f>
        <v/>
      </c>
      <c r="O17" s="495"/>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7"/>
      <c r="BG17" s="478"/>
    </row>
    <row r="18" spans="2:59" ht="15" customHeight="1" x14ac:dyDescent="0.3">
      <c r="B18" s="363"/>
      <c r="C18" s="181" t="str">
        <f>IF(D$6="", "", CONCATENATE('Eluate Collection'!R$7,"-",D$7,"-T0",D18,"-", 'Eluate Collection'!R$8))</f>
        <v/>
      </c>
      <c r="D18" s="182" t="str">
        <f>IF(D$6="", "", 3)</f>
        <v/>
      </c>
      <c r="E18" s="183" t="str">
        <f t="shared" ref="E18:E24" si="3">IF(ISNUMBER(E17), E17, "")</f>
        <v/>
      </c>
      <c r="F18" s="184" t="str">
        <f t="shared" ref="F18:F24" si="4">IF(ISNUMBER(F17), F17, "")</f>
        <v/>
      </c>
      <c r="G18" s="653" t="str">
        <f>IF(ISNUMBER('Eluate Collection'!S36), 'Eluate Collection'!S36, "")</f>
        <v/>
      </c>
      <c r="H18" s="444"/>
      <c r="I18" s="647" t="str">
        <f t="shared" ref="I18:I24" si="5">J17</f>
        <v/>
      </c>
      <c r="J18" s="648" t="str">
        <f>IF(ISNUMBER('Eluate Collection'!$Q36), SUM('Eluate Collection'!$Q$33:'Eluate Collection'!$Q36), "")</f>
        <v/>
      </c>
      <c r="K18" s="448" t="str">
        <f t="shared" si="2"/>
        <v/>
      </c>
      <c r="L18" s="197" t="str">
        <f>IF(ISNUMBER('Eluate Collection'!X22), 'Eluate Collection'!X22, "")</f>
        <v/>
      </c>
      <c r="M18" s="183" t="str">
        <f>IF(ISNUMBER('Eluate Collection'!Y22), 'Eluate Collection'!Y22, "")</f>
        <v/>
      </c>
      <c r="N18" s="193" t="str">
        <f>IF(ISNUMBER('Eluate Collection'!Z22), 'Eluate Collection'!Z22, "")</f>
        <v/>
      </c>
      <c r="O18" s="495"/>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c r="AZ18" s="496"/>
      <c r="BA18" s="496"/>
      <c r="BB18" s="496"/>
      <c r="BC18" s="496"/>
      <c r="BD18" s="496"/>
      <c r="BE18" s="496"/>
      <c r="BF18" s="497"/>
      <c r="BG18" s="478"/>
    </row>
    <row r="19" spans="2:59" ht="15" customHeight="1" x14ac:dyDescent="0.3">
      <c r="B19" s="363"/>
      <c r="C19" s="181" t="str">
        <f>IF(D$6="", "", CONCATENATE('Eluate Collection'!R$7,"-",D$7,"-T0",D19,"-", 'Eluate Collection'!R$8))</f>
        <v/>
      </c>
      <c r="D19" s="182" t="str">
        <f>IF(D$6="", "", 4)</f>
        <v/>
      </c>
      <c r="E19" s="183" t="str">
        <f t="shared" si="3"/>
        <v/>
      </c>
      <c r="F19" s="184" t="str">
        <f t="shared" si="4"/>
        <v/>
      </c>
      <c r="G19" s="653" t="str">
        <f>IF(ISNUMBER('Eluate Collection'!S37), 'Eluate Collection'!S37, "")</f>
        <v/>
      </c>
      <c r="H19" s="444"/>
      <c r="I19" s="647" t="str">
        <f t="shared" si="5"/>
        <v/>
      </c>
      <c r="J19" s="648" t="str">
        <f>IF(ISNUMBER('Eluate Collection'!$Q37), SUM('Eluate Collection'!$Q$33:'Eluate Collection'!$Q37), "")</f>
        <v/>
      </c>
      <c r="K19" s="448" t="str">
        <f t="shared" si="2"/>
        <v/>
      </c>
      <c r="L19" s="197" t="str">
        <f>IF(ISNUMBER('Eluate Collection'!X23), 'Eluate Collection'!X23, "")</f>
        <v/>
      </c>
      <c r="M19" s="183" t="str">
        <f>IF(ISNUMBER('Eluate Collection'!Y23), 'Eluate Collection'!Y23, "")</f>
        <v/>
      </c>
      <c r="N19" s="193" t="str">
        <f>IF(ISNUMBER('Eluate Collection'!Z23), 'Eluate Collection'!Z23, "")</f>
        <v/>
      </c>
      <c r="O19" s="495"/>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6"/>
      <c r="BC19" s="496"/>
      <c r="BD19" s="496"/>
      <c r="BE19" s="496"/>
      <c r="BF19" s="497"/>
      <c r="BG19" s="478"/>
    </row>
    <row r="20" spans="2:59" ht="15" customHeight="1" x14ac:dyDescent="0.3">
      <c r="B20" s="363"/>
      <c r="C20" s="181" t="str">
        <f>IF(D$6="", "", CONCATENATE('Eluate Collection'!R$7,"-",D$7,"-T0",D20,"-", 'Eluate Collection'!R$8))</f>
        <v/>
      </c>
      <c r="D20" s="182" t="str">
        <f>IF(D$6="", "", 5)</f>
        <v/>
      </c>
      <c r="E20" s="183" t="str">
        <f t="shared" si="3"/>
        <v/>
      </c>
      <c r="F20" s="184" t="str">
        <f t="shared" si="4"/>
        <v/>
      </c>
      <c r="G20" s="653" t="str">
        <f>IF(ISNUMBER('Eluate Collection'!S38), 'Eluate Collection'!S38, "")</f>
        <v/>
      </c>
      <c r="H20" s="444"/>
      <c r="I20" s="647" t="str">
        <f t="shared" si="5"/>
        <v/>
      </c>
      <c r="J20" s="648" t="str">
        <f>IF(ISNUMBER('Eluate Collection'!$Q38), SUM('Eluate Collection'!$Q$33:'Eluate Collection'!$Q38), "")</f>
        <v/>
      </c>
      <c r="K20" s="448" t="str">
        <f t="shared" si="2"/>
        <v/>
      </c>
      <c r="L20" s="197" t="str">
        <f>IF(ISNUMBER('Eluate Collection'!X24), 'Eluate Collection'!X24, "")</f>
        <v/>
      </c>
      <c r="M20" s="183" t="str">
        <f>IF(ISNUMBER('Eluate Collection'!Y24), 'Eluate Collection'!Y24, "")</f>
        <v/>
      </c>
      <c r="N20" s="193" t="str">
        <f>IF(ISNUMBER('Eluate Collection'!Z24), 'Eluate Collection'!Z24, "")</f>
        <v/>
      </c>
      <c r="O20" s="495"/>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496"/>
      <c r="BB20" s="496"/>
      <c r="BC20" s="496"/>
      <c r="BD20" s="496"/>
      <c r="BE20" s="496"/>
      <c r="BF20" s="497"/>
      <c r="BG20" s="478"/>
    </row>
    <row r="21" spans="2:59" ht="15" customHeight="1" x14ac:dyDescent="0.3">
      <c r="B21" s="363"/>
      <c r="C21" s="181" t="str">
        <f>IF(D$6="", "", CONCATENATE('Eluate Collection'!R$7,"-",D$7,"-T0",D21,"-", 'Eluate Collection'!R$8))</f>
        <v/>
      </c>
      <c r="D21" s="182" t="str">
        <f>IF(D$6="", "", 6)</f>
        <v/>
      </c>
      <c r="E21" s="183" t="str">
        <f t="shared" si="3"/>
        <v/>
      </c>
      <c r="F21" s="184" t="str">
        <f t="shared" si="4"/>
        <v/>
      </c>
      <c r="G21" s="653" t="str">
        <f>IF(ISNUMBER('Eluate Collection'!S39), 'Eluate Collection'!S39, "")</f>
        <v/>
      </c>
      <c r="H21" s="444"/>
      <c r="I21" s="647" t="str">
        <f t="shared" si="5"/>
        <v/>
      </c>
      <c r="J21" s="648" t="str">
        <f>IF(ISNUMBER('Eluate Collection'!$Q39), SUM('Eluate Collection'!$Q$33:'Eluate Collection'!$Q39), "")</f>
        <v/>
      </c>
      <c r="K21" s="448" t="str">
        <f t="shared" si="2"/>
        <v/>
      </c>
      <c r="L21" s="197" t="str">
        <f>IF(ISNUMBER('Eluate Collection'!X25), 'Eluate Collection'!X25, "")</f>
        <v/>
      </c>
      <c r="M21" s="183" t="str">
        <f>IF(ISNUMBER('Eluate Collection'!Y25), 'Eluate Collection'!Y25, "")</f>
        <v/>
      </c>
      <c r="N21" s="193" t="str">
        <f>IF(ISNUMBER('Eluate Collection'!Z25), 'Eluate Collection'!Z25, "")</f>
        <v/>
      </c>
      <c r="O21" s="495"/>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6"/>
      <c r="BC21" s="496"/>
      <c r="BD21" s="496"/>
      <c r="BE21" s="496"/>
      <c r="BF21" s="497"/>
      <c r="BG21" s="478"/>
    </row>
    <row r="22" spans="2:59" ht="15" customHeight="1" x14ac:dyDescent="0.3">
      <c r="B22" s="363"/>
      <c r="C22" s="181" t="str">
        <f>IF(D$6="", "", CONCATENATE('Eluate Collection'!R$7,"-",D$7,"-T0",D22,"-", 'Eluate Collection'!R$8))</f>
        <v/>
      </c>
      <c r="D22" s="182" t="str">
        <f>IF(D$6="", "", 7)</f>
        <v/>
      </c>
      <c r="E22" s="183" t="str">
        <f t="shared" si="3"/>
        <v/>
      </c>
      <c r="F22" s="184" t="str">
        <f t="shared" si="4"/>
        <v/>
      </c>
      <c r="G22" s="653" t="str">
        <f>IF(ISNUMBER('Eluate Collection'!S40), 'Eluate Collection'!S40, "")</f>
        <v/>
      </c>
      <c r="H22" s="444"/>
      <c r="I22" s="647" t="str">
        <f t="shared" si="5"/>
        <v/>
      </c>
      <c r="J22" s="648" t="str">
        <f>IF(ISNUMBER('Eluate Collection'!$Q40), SUM('Eluate Collection'!$Q$33:'Eluate Collection'!$Q40), "")</f>
        <v/>
      </c>
      <c r="K22" s="448" t="str">
        <f t="shared" si="2"/>
        <v/>
      </c>
      <c r="L22" s="197" t="str">
        <f>IF(ISNUMBER('Eluate Collection'!X26), 'Eluate Collection'!X26, "")</f>
        <v/>
      </c>
      <c r="M22" s="183" t="str">
        <f>IF(ISNUMBER('Eluate Collection'!Y26), 'Eluate Collection'!Y26, "")</f>
        <v/>
      </c>
      <c r="N22" s="193" t="str">
        <f>IF(ISNUMBER('Eluate Collection'!Z26), 'Eluate Collection'!Z26, "")</f>
        <v/>
      </c>
      <c r="O22" s="495"/>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c r="AZ22" s="496"/>
      <c r="BA22" s="496"/>
      <c r="BB22" s="496"/>
      <c r="BC22" s="496"/>
      <c r="BD22" s="496"/>
      <c r="BE22" s="496"/>
      <c r="BF22" s="497"/>
      <c r="BG22" s="478"/>
    </row>
    <row r="23" spans="2:59" ht="15" customHeight="1" x14ac:dyDescent="0.3">
      <c r="B23" s="363"/>
      <c r="C23" s="181" t="str">
        <f>IF(D$6="", "", CONCATENATE('Eluate Collection'!R$7,"-",D$7,"-T0",D23,"-", 'Eluate Collection'!R$8))</f>
        <v/>
      </c>
      <c r="D23" s="182" t="str">
        <f>IF(D$6="", "", 8)</f>
        <v/>
      </c>
      <c r="E23" s="183" t="str">
        <f t="shared" si="3"/>
        <v/>
      </c>
      <c r="F23" s="184" t="str">
        <f t="shared" si="4"/>
        <v/>
      </c>
      <c r="G23" s="653" t="str">
        <f>IF(ISNUMBER('Eluate Collection'!S41), 'Eluate Collection'!S41, "")</f>
        <v/>
      </c>
      <c r="H23" s="444"/>
      <c r="I23" s="647" t="str">
        <f t="shared" si="5"/>
        <v/>
      </c>
      <c r="J23" s="648" t="str">
        <f>IF(ISNUMBER('Eluate Collection'!$Q41), SUM('Eluate Collection'!$Q$33:'Eluate Collection'!$Q41), "")</f>
        <v/>
      </c>
      <c r="K23" s="448" t="str">
        <f t="shared" si="2"/>
        <v/>
      </c>
      <c r="L23" s="197" t="str">
        <f>IF(ISNUMBER('Eluate Collection'!X27), 'Eluate Collection'!X27, "")</f>
        <v/>
      </c>
      <c r="M23" s="183" t="str">
        <f>IF(ISNUMBER('Eluate Collection'!Y27), 'Eluate Collection'!Y27, "")</f>
        <v/>
      </c>
      <c r="N23" s="193" t="str">
        <f>IF(ISNUMBER('Eluate Collection'!Z27), 'Eluate Collection'!Z27, "")</f>
        <v/>
      </c>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8"/>
      <c r="BC23" s="498"/>
      <c r="BD23" s="498"/>
      <c r="BE23" s="498"/>
      <c r="BF23" s="499"/>
      <c r="BG23" s="478"/>
    </row>
    <row r="24" spans="2:59" ht="15" customHeight="1" x14ac:dyDescent="0.3">
      <c r="B24" s="363"/>
      <c r="C24" s="185" t="str">
        <f>IF(D$6="", "", CONCATENATE('Eluate Collection'!R$7,"-",D$7,"-T0",D24,"-", 'Eluate Collection'!R$8))</f>
        <v/>
      </c>
      <c r="D24" s="186" t="str">
        <f>IF(D$6="", "", 9)</f>
        <v/>
      </c>
      <c r="E24" s="183" t="str">
        <f t="shared" si="3"/>
        <v/>
      </c>
      <c r="F24" s="184" t="str">
        <f t="shared" si="4"/>
        <v/>
      </c>
      <c r="G24" s="654" t="str">
        <f>IF(ISNUMBER('Eluate Collection'!S42), 'Eluate Collection'!S42, "")</f>
        <v/>
      </c>
      <c r="H24" s="444"/>
      <c r="I24" s="649" t="str">
        <f t="shared" si="5"/>
        <v/>
      </c>
      <c r="J24" s="650" t="str">
        <f>IF(ISNUMBER('Eluate Collection'!$Q42), SUM('Eluate Collection'!$Q$33:'Eluate Collection'!$Q42), "")</f>
        <v/>
      </c>
      <c r="K24" s="449" t="str">
        <f t="shared" si="2"/>
        <v/>
      </c>
      <c r="L24" s="197" t="str">
        <f>IF(ISNUMBER('Eluate Collection'!X28), 'Eluate Collection'!X28, "")</f>
        <v/>
      </c>
      <c r="M24" s="183" t="str">
        <f>IF(ISNUMBER('Eluate Collection'!Y28), 'Eluate Collection'!Y28, "")</f>
        <v/>
      </c>
      <c r="N24" s="193" t="str">
        <f>IF(ISNUMBER('Eluate Collection'!Z28), 'Eluate Collection'!Z28, "")</f>
        <v/>
      </c>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1"/>
      <c r="BG24" s="478"/>
    </row>
    <row r="25" spans="2:59" ht="15" customHeight="1" x14ac:dyDescent="0.3">
      <c r="B25" s="363"/>
      <c r="C25" s="177" t="str">
        <f>IF(D$6="", "", CONCATENATE('Eluate Collection'!R$7,"-",D$7,"-T0",D25,"-", 'Eluate Collection'!R$53))</f>
        <v/>
      </c>
      <c r="D25" s="178" t="str">
        <f>IF(D$6="", "", 1)</f>
        <v/>
      </c>
      <c r="E25" s="179" t="str">
        <f>IF(ISNUMBER('Eluate Collection'!V52), 'Eluate Collection'!V52, "")</f>
        <v/>
      </c>
      <c r="F25" s="180" t="str">
        <f>IF(ISNUMBER('Eluate Collection'!V53), 1-'Eluate Collection'!V53, "")</f>
        <v/>
      </c>
      <c r="G25" s="652" t="str">
        <f>IF(ISNUMBER('Eluate Collection'!S79), 'Eluate Collection'!S79, "")</f>
        <v/>
      </c>
      <c r="H25" s="203" t="str">
        <f>IF(ISNUMBER('Eluate Collection'!R57), 'Eluate Collection'!R57, "")</f>
        <v/>
      </c>
      <c r="I25" s="651" t="str">
        <f>IF(ISNUMBER(J25), 0, "")</f>
        <v/>
      </c>
      <c r="J25" s="646" t="str">
        <f>IF(ISNUMBER('Eluate Collection'!$Q79), SUM('Eluate Collection'!$Q$78:'Eluate Collection'!$Q79), "")</f>
        <v/>
      </c>
      <c r="K25" s="447" t="str">
        <f t="shared" si="2"/>
        <v/>
      </c>
      <c r="L25" s="196" t="str">
        <f>IF(ISNUMBER('Eluate Collection'!X65), 'Eluate Collection'!X65, "")</f>
        <v/>
      </c>
      <c r="M25" s="179" t="str">
        <f>IF(ISNUMBER('Eluate Collection'!Y65), 'Eluate Collection'!Y65, "")</f>
        <v/>
      </c>
      <c r="N25" s="192" t="str">
        <f>IF(ISNUMBER('Eluate Collection'!Z65), 'Eluate Collection'!Z65, "")</f>
        <v/>
      </c>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4"/>
      <c r="BG25" s="478"/>
    </row>
    <row r="26" spans="2:59" ht="15" customHeight="1" x14ac:dyDescent="0.3">
      <c r="B26" s="363"/>
      <c r="C26" s="181" t="str">
        <f>IF(D$6="", "", CONCATENATE('Eluate Collection'!R$7,"-",D$7,"-T0",D26,"-", 'Eluate Collection'!R$53))</f>
        <v/>
      </c>
      <c r="D26" s="182" t="str">
        <f>IF(D$6="", "", 2)</f>
        <v/>
      </c>
      <c r="E26" s="183" t="str">
        <f>IF(ISNUMBER(E25), E25, "")</f>
        <v/>
      </c>
      <c r="F26" s="184" t="str">
        <f>IF(ISNUMBER(F25), F25, "")</f>
        <v/>
      </c>
      <c r="G26" s="653" t="str">
        <f>IF(ISNUMBER('Eluate Collection'!S80), 'Eluate Collection'!S80, "")</f>
        <v/>
      </c>
      <c r="H26" s="444"/>
      <c r="I26" s="647" t="str">
        <f>J25</f>
        <v/>
      </c>
      <c r="J26" s="648" t="str">
        <f>IF(ISNUMBER('Eluate Collection'!$Q80), SUM('Eluate Collection'!$Q$78:'Eluate Collection'!$Q80), "")</f>
        <v/>
      </c>
      <c r="K26" s="448" t="str">
        <f t="shared" si="2"/>
        <v/>
      </c>
      <c r="L26" s="197" t="str">
        <f>IF(ISNUMBER('Eluate Collection'!X66), 'Eluate Collection'!X66, "")</f>
        <v/>
      </c>
      <c r="M26" s="183" t="str">
        <f>IF(ISNUMBER('Eluate Collection'!Y66), 'Eluate Collection'!Y66, "")</f>
        <v/>
      </c>
      <c r="N26" s="193" t="str">
        <f>IF(ISNUMBER('Eluate Collection'!Z66), 'Eluate Collection'!Z66, "")</f>
        <v/>
      </c>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6"/>
      <c r="BC26" s="496"/>
      <c r="BD26" s="496"/>
      <c r="BE26" s="496"/>
      <c r="BF26" s="497"/>
      <c r="BG26" s="478"/>
    </row>
    <row r="27" spans="2:59" ht="15" customHeight="1" x14ac:dyDescent="0.3">
      <c r="B27" s="363"/>
      <c r="C27" s="181" t="str">
        <f>IF(D$6="", "", CONCATENATE('Eluate Collection'!R$7,"-",D$7,"-T0",D27,"-", 'Eluate Collection'!R$53))</f>
        <v/>
      </c>
      <c r="D27" s="182" t="str">
        <f>IF(D$6="", "", 3)</f>
        <v/>
      </c>
      <c r="E27" s="183" t="str">
        <f t="shared" ref="E27:E33" si="6">IF(ISNUMBER(E26), E26, "")</f>
        <v/>
      </c>
      <c r="F27" s="184" t="str">
        <f t="shared" ref="F27:F33" si="7">IF(ISNUMBER(F26), F26, "")</f>
        <v/>
      </c>
      <c r="G27" s="653" t="str">
        <f>IF(ISNUMBER('Eluate Collection'!S81), 'Eluate Collection'!S81, "")</f>
        <v/>
      </c>
      <c r="H27" s="444"/>
      <c r="I27" s="647" t="str">
        <f t="shared" ref="I27:I33" si="8">J26</f>
        <v/>
      </c>
      <c r="J27" s="648" t="str">
        <f>IF(ISNUMBER('Eluate Collection'!$Q81), SUM('Eluate Collection'!$Q$78:'Eluate Collection'!$Q81), "")</f>
        <v/>
      </c>
      <c r="K27" s="448" t="str">
        <f t="shared" si="2"/>
        <v/>
      </c>
      <c r="L27" s="197" t="str">
        <f>IF(ISNUMBER('Eluate Collection'!X67), 'Eluate Collection'!X67, "")</f>
        <v/>
      </c>
      <c r="M27" s="183" t="str">
        <f>IF(ISNUMBER('Eluate Collection'!Y67), 'Eluate Collection'!Y67, "")</f>
        <v/>
      </c>
      <c r="N27" s="193" t="str">
        <f>IF(ISNUMBER('Eluate Collection'!Z67), 'Eluate Collection'!Z67, "")</f>
        <v/>
      </c>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7"/>
      <c r="BG27" s="478"/>
    </row>
    <row r="28" spans="2:59" ht="15" customHeight="1" x14ac:dyDescent="0.3">
      <c r="B28" s="363"/>
      <c r="C28" s="181" t="str">
        <f>IF(D$6="", "", CONCATENATE('Eluate Collection'!R$7,"-",D$7,"-T0",D28,"-", 'Eluate Collection'!R$53))</f>
        <v/>
      </c>
      <c r="D28" s="182" t="str">
        <f>IF(D$6="", "", 4)</f>
        <v/>
      </c>
      <c r="E28" s="183" t="str">
        <f t="shared" si="6"/>
        <v/>
      </c>
      <c r="F28" s="184" t="str">
        <f t="shared" si="7"/>
        <v/>
      </c>
      <c r="G28" s="653" t="str">
        <f>IF(ISNUMBER('Eluate Collection'!S82), 'Eluate Collection'!S82, "")</f>
        <v/>
      </c>
      <c r="H28" s="444"/>
      <c r="I28" s="647" t="str">
        <f t="shared" si="8"/>
        <v/>
      </c>
      <c r="J28" s="648" t="str">
        <f>IF(ISNUMBER('Eluate Collection'!$Q82), SUM('Eluate Collection'!$Q$78:'Eluate Collection'!$Q82), "")</f>
        <v/>
      </c>
      <c r="K28" s="448" t="str">
        <f t="shared" si="2"/>
        <v/>
      </c>
      <c r="L28" s="197" t="str">
        <f>IF(ISNUMBER('Eluate Collection'!X68), 'Eluate Collection'!X68, "")</f>
        <v/>
      </c>
      <c r="M28" s="183" t="str">
        <f>IF(ISNUMBER('Eluate Collection'!Y68), 'Eluate Collection'!Y68, "")</f>
        <v/>
      </c>
      <c r="N28" s="193" t="str">
        <f>IF(ISNUMBER('Eluate Collection'!Z68), 'Eluate Collection'!Z68, "")</f>
        <v/>
      </c>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7"/>
      <c r="BG28" s="478"/>
    </row>
    <row r="29" spans="2:59" ht="15" customHeight="1" x14ac:dyDescent="0.3">
      <c r="B29" s="363"/>
      <c r="C29" s="181" t="str">
        <f>IF(D$6="", "", CONCATENATE('Eluate Collection'!R$7,"-",D$7,"-T0",D29,"-", 'Eluate Collection'!R$53))</f>
        <v/>
      </c>
      <c r="D29" s="182" t="str">
        <f>IF(D$6="", "", 5)</f>
        <v/>
      </c>
      <c r="E29" s="183" t="str">
        <f t="shared" si="6"/>
        <v/>
      </c>
      <c r="F29" s="184" t="str">
        <f t="shared" si="7"/>
        <v/>
      </c>
      <c r="G29" s="653" t="str">
        <f>IF(ISNUMBER('Eluate Collection'!S83), 'Eluate Collection'!S83, "")</f>
        <v/>
      </c>
      <c r="H29" s="444"/>
      <c r="I29" s="647" t="str">
        <f t="shared" si="8"/>
        <v/>
      </c>
      <c r="J29" s="648" t="str">
        <f>IF(ISNUMBER('Eluate Collection'!$Q83), SUM('Eluate Collection'!$Q$78:'Eluate Collection'!$Q83), "")</f>
        <v/>
      </c>
      <c r="K29" s="448" t="str">
        <f t="shared" si="2"/>
        <v/>
      </c>
      <c r="L29" s="197" t="str">
        <f>IF(ISNUMBER('Eluate Collection'!X69), 'Eluate Collection'!X69, "")</f>
        <v/>
      </c>
      <c r="M29" s="183" t="str">
        <f>IF(ISNUMBER('Eluate Collection'!Y69), 'Eluate Collection'!Y69, "")</f>
        <v/>
      </c>
      <c r="N29" s="193" t="str">
        <f>IF(ISNUMBER('Eluate Collection'!Z69), 'Eluate Collection'!Z69, "")</f>
        <v/>
      </c>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7"/>
      <c r="BG29" s="478"/>
    </row>
    <row r="30" spans="2:59" ht="15" customHeight="1" x14ac:dyDescent="0.3">
      <c r="B30" s="363"/>
      <c r="C30" s="181" t="str">
        <f>IF(D$6="", "", CONCATENATE('Eluate Collection'!R$7,"-",D$7,"-T0",D30,"-", 'Eluate Collection'!R$53))</f>
        <v/>
      </c>
      <c r="D30" s="182" t="str">
        <f>IF(D$6="", "", 6)</f>
        <v/>
      </c>
      <c r="E30" s="183" t="str">
        <f t="shared" si="6"/>
        <v/>
      </c>
      <c r="F30" s="184" t="str">
        <f t="shared" si="7"/>
        <v/>
      </c>
      <c r="G30" s="653" t="str">
        <f>IF(ISNUMBER('Eluate Collection'!S84), 'Eluate Collection'!S84, "")</f>
        <v/>
      </c>
      <c r="H30" s="444"/>
      <c r="I30" s="647" t="str">
        <f t="shared" si="8"/>
        <v/>
      </c>
      <c r="J30" s="648" t="str">
        <f>IF(ISNUMBER('Eluate Collection'!$Q84), SUM('Eluate Collection'!$Q$78:'Eluate Collection'!$Q84), "")</f>
        <v/>
      </c>
      <c r="K30" s="448" t="str">
        <f t="shared" si="2"/>
        <v/>
      </c>
      <c r="L30" s="197" t="str">
        <f>IF(ISNUMBER('Eluate Collection'!X70), 'Eluate Collection'!X70, "")</f>
        <v/>
      </c>
      <c r="M30" s="183" t="str">
        <f>IF(ISNUMBER('Eluate Collection'!Y70), 'Eluate Collection'!Y70, "")</f>
        <v/>
      </c>
      <c r="N30" s="193" t="str">
        <f>IF(ISNUMBER('Eluate Collection'!Z70), 'Eluate Collection'!Z70, "")</f>
        <v/>
      </c>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7"/>
      <c r="BG30" s="478"/>
    </row>
    <row r="31" spans="2:59" ht="15" customHeight="1" x14ac:dyDescent="0.3">
      <c r="B31" s="363"/>
      <c r="C31" s="181" t="str">
        <f>IF(D$6="", "", CONCATENATE('Eluate Collection'!R$7,"-",D$7,"-T0",D31,"-", 'Eluate Collection'!R$53))</f>
        <v/>
      </c>
      <c r="D31" s="182" t="str">
        <f>IF(D$6="", "", 7)</f>
        <v/>
      </c>
      <c r="E31" s="183" t="str">
        <f t="shared" si="6"/>
        <v/>
      </c>
      <c r="F31" s="184" t="str">
        <f t="shared" si="7"/>
        <v/>
      </c>
      <c r="G31" s="653" t="str">
        <f>IF(ISNUMBER('Eluate Collection'!S85), 'Eluate Collection'!S85, "")</f>
        <v/>
      </c>
      <c r="H31" s="444"/>
      <c r="I31" s="647" t="str">
        <f t="shared" si="8"/>
        <v/>
      </c>
      <c r="J31" s="648" t="str">
        <f>IF(ISNUMBER('Eluate Collection'!$Q85), SUM('Eluate Collection'!$Q$78:'Eluate Collection'!$Q85), "")</f>
        <v/>
      </c>
      <c r="K31" s="448" t="str">
        <f t="shared" si="2"/>
        <v/>
      </c>
      <c r="L31" s="197" t="str">
        <f>IF(ISNUMBER('Eluate Collection'!X71), 'Eluate Collection'!X71, "")</f>
        <v/>
      </c>
      <c r="M31" s="183" t="str">
        <f>IF(ISNUMBER('Eluate Collection'!Y71), 'Eluate Collection'!Y71, "")</f>
        <v/>
      </c>
      <c r="N31" s="193" t="str">
        <f>IF(ISNUMBER('Eluate Collection'!Z71), 'Eluate Collection'!Z71, "")</f>
        <v/>
      </c>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7"/>
      <c r="BG31" s="478"/>
    </row>
    <row r="32" spans="2:59" ht="15" customHeight="1" x14ac:dyDescent="0.3">
      <c r="B32" s="363"/>
      <c r="C32" s="181" t="str">
        <f>IF(D$6="", "", CONCATENATE('Eluate Collection'!R$7,"-",D$7,"-T0",D32,"-", 'Eluate Collection'!R$53))</f>
        <v/>
      </c>
      <c r="D32" s="182" t="str">
        <f>IF(D$6="", "", 8)</f>
        <v/>
      </c>
      <c r="E32" s="183" t="str">
        <f t="shared" si="6"/>
        <v/>
      </c>
      <c r="F32" s="184" t="str">
        <f t="shared" si="7"/>
        <v/>
      </c>
      <c r="G32" s="653" t="str">
        <f>IF(ISNUMBER('Eluate Collection'!S86), 'Eluate Collection'!S86, "")</f>
        <v/>
      </c>
      <c r="H32" s="444"/>
      <c r="I32" s="647" t="str">
        <f t="shared" si="8"/>
        <v/>
      </c>
      <c r="J32" s="648" t="str">
        <f>IF(ISNUMBER('Eluate Collection'!$Q86), SUM('Eluate Collection'!$Q$78:'Eluate Collection'!$Q86), "")</f>
        <v/>
      </c>
      <c r="K32" s="448" t="str">
        <f t="shared" si="2"/>
        <v/>
      </c>
      <c r="L32" s="197" t="str">
        <f>IF(ISNUMBER('Eluate Collection'!X72), 'Eluate Collection'!X72, "")</f>
        <v/>
      </c>
      <c r="M32" s="183" t="str">
        <f>IF(ISNUMBER('Eluate Collection'!Y72), 'Eluate Collection'!Y72, "")</f>
        <v/>
      </c>
      <c r="N32" s="193" t="str">
        <f>IF(ISNUMBER('Eluate Collection'!Z72), 'Eluate Collection'!Z72, "")</f>
        <v/>
      </c>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8"/>
      <c r="BD32" s="498"/>
      <c r="BE32" s="498"/>
      <c r="BF32" s="499"/>
      <c r="BG32" s="478"/>
    </row>
    <row r="33" spans="1:59" ht="15" customHeight="1" x14ac:dyDescent="0.3">
      <c r="B33" s="363"/>
      <c r="C33" s="185" t="str">
        <f>IF(D$6="", "", CONCATENATE('Eluate Collection'!R$7,"-",D$7,"-T0",D33,"-", 'Eluate Collection'!R$53))</f>
        <v/>
      </c>
      <c r="D33" s="186" t="str">
        <f>IF(D$6="", "", 9)</f>
        <v/>
      </c>
      <c r="E33" s="183" t="str">
        <f t="shared" si="6"/>
        <v/>
      </c>
      <c r="F33" s="184" t="str">
        <f t="shared" si="7"/>
        <v/>
      </c>
      <c r="G33" s="654" t="str">
        <f>IF(ISNUMBER('Eluate Collection'!S87), 'Eluate Collection'!S87, "")</f>
        <v/>
      </c>
      <c r="H33" s="444"/>
      <c r="I33" s="649" t="str">
        <f t="shared" si="8"/>
        <v/>
      </c>
      <c r="J33" s="650" t="str">
        <f>IF(ISNUMBER('Eluate Collection'!$Q87), SUM('Eluate Collection'!$Q$78:'Eluate Collection'!$Q87), "")</f>
        <v/>
      </c>
      <c r="K33" s="449" t="str">
        <f t="shared" si="2"/>
        <v/>
      </c>
      <c r="L33" s="197" t="str">
        <f>IF(ISNUMBER('Eluate Collection'!X73), 'Eluate Collection'!X73, "")</f>
        <v/>
      </c>
      <c r="M33" s="183" t="str">
        <f>IF(ISNUMBER('Eluate Collection'!Y73), 'Eluate Collection'!Y73, "")</f>
        <v/>
      </c>
      <c r="N33" s="193" t="str">
        <f>IF(ISNUMBER('Eluate Collection'!Z73), 'Eluate Collection'!Z73, "")</f>
        <v/>
      </c>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1"/>
      <c r="BG33" s="478"/>
    </row>
    <row r="34" spans="1:59" ht="15" customHeight="1" x14ac:dyDescent="0.3">
      <c r="B34" s="363"/>
      <c r="C34" s="177" t="str">
        <f>IF(D$6="", "", CONCATENATE('Eluate Collection'!R$7,"-",D$7,"-T0",D34,"-", 'Eluate Collection'!R$98))</f>
        <v/>
      </c>
      <c r="D34" s="178" t="str">
        <f>IF(D$6="", "", 1)</f>
        <v/>
      </c>
      <c r="E34" s="179" t="str">
        <f>IF(ISNUMBER('Eluate Collection'!V97), 'Eluate Collection'!V97, "")</f>
        <v/>
      </c>
      <c r="F34" s="180" t="str">
        <f>IF(ISNUMBER('Eluate Collection'!V98), 1-'Eluate Collection'!V98, "")</f>
        <v/>
      </c>
      <c r="G34" s="652" t="str">
        <f>IF(ISNUMBER('Eluate Collection'!S124), 'Eluate Collection'!S124, "")</f>
        <v/>
      </c>
      <c r="H34" s="203" t="str">
        <f>IF(ISNUMBER('Eluate Collection'!R102), 'Eluate Collection'!R102, "")</f>
        <v/>
      </c>
      <c r="I34" s="651" t="str">
        <f>IF(ISNUMBER(J34), 0, "")</f>
        <v/>
      </c>
      <c r="J34" s="646" t="str">
        <f>IF(ISNUMBER('Eluate Collection'!$Q124), SUM('Eluate Collection'!$Q$123:'Eluate Collection'!$Q124), "")</f>
        <v/>
      </c>
      <c r="K34" s="447" t="str">
        <f t="shared" si="2"/>
        <v/>
      </c>
      <c r="L34" s="196" t="str">
        <f>IF(ISNUMBER('Eluate Collection'!X110), 'Eluate Collection'!X110, "")</f>
        <v/>
      </c>
      <c r="M34" s="179" t="str">
        <f>IF(ISNUMBER('Eluate Collection'!Y110), 'Eluate Collection'!Y110, "")</f>
        <v/>
      </c>
      <c r="N34" s="192" t="str">
        <f>IF(ISNUMBER('Eluate Collection'!Z110), 'Eluate Collection'!Z110, "")</f>
        <v/>
      </c>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c r="AN34" s="493"/>
      <c r="AO34" s="493"/>
      <c r="AP34" s="493"/>
      <c r="AQ34" s="493"/>
      <c r="AR34" s="493"/>
      <c r="AS34" s="493"/>
      <c r="AT34" s="493"/>
      <c r="AU34" s="493"/>
      <c r="AV34" s="493"/>
      <c r="AW34" s="493"/>
      <c r="AX34" s="493"/>
      <c r="AY34" s="493"/>
      <c r="AZ34" s="493"/>
      <c r="BA34" s="493"/>
      <c r="BB34" s="493"/>
      <c r="BC34" s="493"/>
      <c r="BD34" s="493"/>
      <c r="BE34" s="493"/>
      <c r="BF34" s="494"/>
      <c r="BG34" s="478"/>
    </row>
    <row r="35" spans="1:59" ht="15" customHeight="1" x14ac:dyDescent="0.3">
      <c r="B35" s="363"/>
      <c r="C35" s="181" t="str">
        <f>IF(D$6="", "", CONCATENATE('Eluate Collection'!R$7,"-",D$7,"-T0",D35,"-", 'Eluate Collection'!R$98))</f>
        <v/>
      </c>
      <c r="D35" s="182" t="str">
        <f>IF(D$6="", "", 2)</f>
        <v/>
      </c>
      <c r="E35" s="183" t="str">
        <f>IF(ISNUMBER(E34), E34, "")</f>
        <v/>
      </c>
      <c r="F35" s="184" t="str">
        <f>IF(ISNUMBER(F34), F34, "")</f>
        <v/>
      </c>
      <c r="G35" s="653" t="str">
        <f>IF(ISNUMBER('Eluate Collection'!S125), 'Eluate Collection'!S125, "")</f>
        <v/>
      </c>
      <c r="H35" s="444"/>
      <c r="I35" s="647" t="str">
        <f>J34</f>
        <v/>
      </c>
      <c r="J35" s="648" t="str">
        <f>IF(ISNUMBER('Eluate Collection'!$Q125), SUM('Eluate Collection'!$Q$123:'Eluate Collection'!$Q125), "")</f>
        <v/>
      </c>
      <c r="K35" s="448" t="str">
        <f t="shared" si="2"/>
        <v/>
      </c>
      <c r="L35" s="197" t="str">
        <f>IF(ISNUMBER('Eluate Collection'!X111), 'Eluate Collection'!X111, "")</f>
        <v/>
      </c>
      <c r="M35" s="183" t="str">
        <f>IF(ISNUMBER('Eluate Collection'!Y111), 'Eluate Collection'!Y111, "")</f>
        <v/>
      </c>
      <c r="N35" s="193" t="str">
        <f>IF(ISNUMBER('Eluate Collection'!Z111), 'Eluate Collection'!Z111, "")</f>
        <v/>
      </c>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7"/>
      <c r="BG35" s="478"/>
    </row>
    <row r="36" spans="1:59" ht="15" customHeight="1" x14ac:dyDescent="0.3">
      <c r="B36" s="363"/>
      <c r="C36" s="181" t="str">
        <f>IF(D$6="", "", CONCATENATE('Eluate Collection'!R$7,"-",D$7,"-T0",D36,"-", 'Eluate Collection'!R$98))</f>
        <v/>
      </c>
      <c r="D36" s="182" t="str">
        <f>IF(D$6="", "", 3)</f>
        <v/>
      </c>
      <c r="E36" s="183" t="str">
        <f t="shared" ref="E36:E42" si="9">IF(ISNUMBER(E35), E35, "")</f>
        <v/>
      </c>
      <c r="F36" s="184" t="str">
        <f t="shared" ref="F36:F42" si="10">IF(ISNUMBER(F35), F35, "")</f>
        <v/>
      </c>
      <c r="G36" s="653" t="str">
        <f>IF(ISNUMBER('Eluate Collection'!S126), 'Eluate Collection'!S126, "")</f>
        <v/>
      </c>
      <c r="H36" s="444"/>
      <c r="I36" s="647" t="str">
        <f t="shared" ref="I36:I42" si="11">J35</f>
        <v/>
      </c>
      <c r="J36" s="648" t="str">
        <f>IF(ISNUMBER('Eluate Collection'!$Q126), SUM('Eluate Collection'!$Q$123:'Eluate Collection'!$Q126), "")</f>
        <v/>
      </c>
      <c r="K36" s="448" t="str">
        <f t="shared" si="2"/>
        <v/>
      </c>
      <c r="L36" s="197" t="str">
        <f>IF(ISNUMBER('Eluate Collection'!X112), 'Eluate Collection'!X112, "")</f>
        <v/>
      </c>
      <c r="M36" s="183" t="str">
        <f>IF(ISNUMBER('Eluate Collection'!Y112), 'Eluate Collection'!Y112, "")</f>
        <v/>
      </c>
      <c r="N36" s="193" t="str">
        <f>IF(ISNUMBER('Eluate Collection'!Z112), 'Eluate Collection'!Z112, "")</f>
        <v/>
      </c>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c r="AZ36" s="496"/>
      <c r="BA36" s="496"/>
      <c r="BB36" s="496"/>
      <c r="BC36" s="496"/>
      <c r="BD36" s="496"/>
      <c r="BE36" s="496"/>
      <c r="BF36" s="497"/>
      <c r="BG36" s="478"/>
    </row>
    <row r="37" spans="1:59" ht="15" customHeight="1" x14ac:dyDescent="0.3">
      <c r="B37" s="363"/>
      <c r="C37" s="181" t="str">
        <f>IF(D$6="", "", CONCATENATE('Eluate Collection'!R$7,"-",D$7,"-T0",D37,"-", 'Eluate Collection'!R$98))</f>
        <v/>
      </c>
      <c r="D37" s="182" t="str">
        <f>IF(D$6="", "", 4)</f>
        <v/>
      </c>
      <c r="E37" s="183" t="str">
        <f t="shared" si="9"/>
        <v/>
      </c>
      <c r="F37" s="184" t="str">
        <f t="shared" si="10"/>
        <v/>
      </c>
      <c r="G37" s="653" t="str">
        <f>IF(ISNUMBER('Eluate Collection'!S127), 'Eluate Collection'!S127, "")</f>
        <v/>
      </c>
      <c r="H37" s="444"/>
      <c r="I37" s="647" t="str">
        <f t="shared" si="11"/>
        <v/>
      </c>
      <c r="J37" s="648" t="str">
        <f>IF(ISNUMBER('Eluate Collection'!$Q127), SUM('Eluate Collection'!$Q$123:'Eluate Collection'!$Q127), "")</f>
        <v/>
      </c>
      <c r="K37" s="448" t="str">
        <f t="shared" si="2"/>
        <v/>
      </c>
      <c r="L37" s="197" t="str">
        <f>IF(ISNUMBER('Eluate Collection'!X113), 'Eluate Collection'!X113, "")</f>
        <v/>
      </c>
      <c r="M37" s="183" t="str">
        <f>IF(ISNUMBER('Eluate Collection'!Y113), 'Eluate Collection'!Y113, "")</f>
        <v/>
      </c>
      <c r="N37" s="193" t="str">
        <f>IF(ISNUMBER('Eluate Collection'!Z113), 'Eluate Collection'!Z113, "")</f>
        <v/>
      </c>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7"/>
      <c r="BG37" s="478"/>
    </row>
    <row r="38" spans="1:59" ht="15" customHeight="1" x14ac:dyDescent="0.3">
      <c r="B38" s="363"/>
      <c r="C38" s="181" t="str">
        <f>IF(D$6="", "", CONCATENATE('Eluate Collection'!R$7,"-",D$7,"-T0",D38,"-", 'Eluate Collection'!R$98))</f>
        <v/>
      </c>
      <c r="D38" s="182" t="str">
        <f>IF(D$6="", "", 5)</f>
        <v/>
      </c>
      <c r="E38" s="183" t="str">
        <f t="shared" si="9"/>
        <v/>
      </c>
      <c r="F38" s="184" t="str">
        <f t="shared" si="10"/>
        <v/>
      </c>
      <c r="G38" s="653" t="str">
        <f>IF(ISNUMBER('Eluate Collection'!S128), 'Eluate Collection'!S128, "")</f>
        <v/>
      </c>
      <c r="H38" s="444"/>
      <c r="I38" s="647" t="str">
        <f t="shared" si="11"/>
        <v/>
      </c>
      <c r="J38" s="648" t="str">
        <f>IF(ISNUMBER('Eluate Collection'!$Q128), SUM('Eluate Collection'!$Q$123:'Eluate Collection'!$Q128), "")</f>
        <v/>
      </c>
      <c r="K38" s="448" t="str">
        <f t="shared" si="2"/>
        <v/>
      </c>
      <c r="L38" s="197" t="str">
        <f>IF(ISNUMBER('Eluate Collection'!X114), 'Eluate Collection'!X114, "")</f>
        <v/>
      </c>
      <c r="M38" s="183" t="str">
        <f>IF(ISNUMBER('Eluate Collection'!Y114), 'Eluate Collection'!Y114, "")</f>
        <v/>
      </c>
      <c r="N38" s="193" t="str">
        <f>IF(ISNUMBER('Eluate Collection'!Z114), 'Eluate Collection'!Z114, "")</f>
        <v/>
      </c>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7"/>
      <c r="BG38" s="478"/>
    </row>
    <row r="39" spans="1:59" ht="15" customHeight="1" x14ac:dyDescent="0.3">
      <c r="B39" s="363"/>
      <c r="C39" s="181" t="str">
        <f>IF(D$6="", "", CONCATENATE('Eluate Collection'!R$7,"-",D$7,"-T0",D39,"-", 'Eluate Collection'!R$98))</f>
        <v/>
      </c>
      <c r="D39" s="182" t="str">
        <f>IF(D$6="", "", 6)</f>
        <v/>
      </c>
      <c r="E39" s="183" t="str">
        <f t="shared" si="9"/>
        <v/>
      </c>
      <c r="F39" s="184" t="str">
        <f t="shared" si="10"/>
        <v/>
      </c>
      <c r="G39" s="653" t="str">
        <f>IF(ISNUMBER('Eluate Collection'!S129), 'Eluate Collection'!S129, "")</f>
        <v/>
      </c>
      <c r="H39" s="444"/>
      <c r="I39" s="647" t="str">
        <f t="shared" si="11"/>
        <v/>
      </c>
      <c r="J39" s="648" t="str">
        <f>IF(ISNUMBER('Eluate Collection'!$Q129), SUM('Eluate Collection'!$Q$123:'Eluate Collection'!$Q129), "")</f>
        <v/>
      </c>
      <c r="K39" s="448" t="str">
        <f t="shared" si="2"/>
        <v/>
      </c>
      <c r="L39" s="197" t="str">
        <f>IF(ISNUMBER('Eluate Collection'!X115), 'Eluate Collection'!X115, "")</f>
        <v/>
      </c>
      <c r="M39" s="183" t="str">
        <f>IF(ISNUMBER('Eluate Collection'!Y115), 'Eluate Collection'!Y115, "")</f>
        <v/>
      </c>
      <c r="N39" s="193" t="str">
        <f>IF(ISNUMBER('Eluate Collection'!Z115), 'Eluate Collection'!Z115, "")</f>
        <v/>
      </c>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7"/>
      <c r="BG39" s="478"/>
    </row>
    <row r="40" spans="1:59" ht="15" customHeight="1" x14ac:dyDescent="0.3">
      <c r="B40" s="363"/>
      <c r="C40" s="181" t="str">
        <f>IF(D$6="", "", CONCATENATE('Eluate Collection'!R$7,"-",D$7,"-T0",D40,"-", 'Eluate Collection'!R$98))</f>
        <v/>
      </c>
      <c r="D40" s="182" t="str">
        <f>IF(D$6="", "", 7)</f>
        <v/>
      </c>
      <c r="E40" s="183" t="str">
        <f t="shared" si="9"/>
        <v/>
      </c>
      <c r="F40" s="184" t="str">
        <f t="shared" si="10"/>
        <v/>
      </c>
      <c r="G40" s="653" t="str">
        <f>IF(ISNUMBER('Eluate Collection'!S130), 'Eluate Collection'!S130, "")</f>
        <v/>
      </c>
      <c r="H40" s="444"/>
      <c r="I40" s="647" t="str">
        <f t="shared" si="11"/>
        <v/>
      </c>
      <c r="J40" s="648" t="str">
        <f>IF(ISNUMBER('Eluate Collection'!$Q130), SUM('Eluate Collection'!$Q$123:'Eluate Collection'!$Q130), "")</f>
        <v/>
      </c>
      <c r="K40" s="448" t="str">
        <f t="shared" si="2"/>
        <v/>
      </c>
      <c r="L40" s="197" t="str">
        <f>IF(ISNUMBER('Eluate Collection'!X116), 'Eluate Collection'!X116, "")</f>
        <v/>
      </c>
      <c r="M40" s="183" t="str">
        <f>IF(ISNUMBER('Eluate Collection'!Y116), 'Eluate Collection'!Y116, "")</f>
        <v/>
      </c>
      <c r="N40" s="193" t="str">
        <f>IF(ISNUMBER('Eluate Collection'!Z116), 'Eluate Collection'!Z116, "")</f>
        <v/>
      </c>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7"/>
      <c r="BG40" s="478"/>
    </row>
    <row r="41" spans="1:59" ht="15" customHeight="1" x14ac:dyDescent="0.3">
      <c r="B41" s="363"/>
      <c r="C41" s="181" t="str">
        <f>IF(D$6="", "", CONCATENATE('Eluate Collection'!R$7,"-",D$7,"-T0",D41,"-", 'Eluate Collection'!R$98))</f>
        <v/>
      </c>
      <c r="D41" s="182" t="str">
        <f>IF(D$6="", "", 8)</f>
        <v/>
      </c>
      <c r="E41" s="183" t="str">
        <f t="shared" si="9"/>
        <v/>
      </c>
      <c r="F41" s="184" t="str">
        <f t="shared" si="10"/>
        <v/>
      </c>
      <c r="G41" s="653" t="str">
        <f>IF(ISNUMBER('Eluate Collection'!S131), 'Eluate Collection'!S131, "")</f>
        <v/>
      </c>
      <c r="H41" s="444"/>
      <c r="I41" s="647" t="str">
        <f t="shared" si="11"/>
        <v/>
      </c>
      <c r="J41" s="648" t="str">
        <f>IF(ISNUMBER('Eluate Collection'!$Q131), SUM('Eluate Collection'!$Q$123:'Eluate Collection'!$Q131), "")</f>
        <v/>
      </c>
      <c r="K41" s="448" t="str">
        <f t="shared" si="2"/>
        <v/>
      </c>
      <c r="L41" s="197" t="str">
        <f>IF(ISNUMBER('Eluate Collection'!X117), 'Eluate Collection'!X117, "")</f>
        <v/>
      </c>
      <c r="M41" s="183" t="str">
        <f>IF(ISNUMBER('Eluate Collection'!Y117), 'Eluate Collection'!Y117, "")</f>
        <v/>
      </c>
      <c r="N41" s="193" t="str">
        <f>IF(ISNUMBER('Eluate Collection'!Z117), 'Eluate Collection'!Z117, "")</f>
        <v/>
      </c>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9"/>
      <c r="BG41" s="478"/>
    </row>
    <row r="42" spans="1:59" ht="15" customHeight="1" x14ac:dyDescent="0.3">
      <c r="B42" s="363"/>
      <c r="C42" s="185" t="str">
        <f>IF(D$6="", "", CONCATENATE('Eluate Collection'!R$7,"-",D$7,"-T0",D42,"-", 'Eluate Collection'!R$98))</f>
        <v/>
      </c>
      <c r="D42" s="186" t="str">
        <f>IF(D$6="", "", 9)</f>
        <v/>
      </c>
      <c r="E42" s="183" t="str">
        <f t="shared" si="9"/>
        <v/>
      </c>
      <c r="F42" s="184" t="str">
        <f t="shared" si="10"/>
        <v/>
      </c>
      <c r="G42" s="653" t="str">
        <f>IF(ISNUMBER('Eluate Collection'!S132), 'Eluate Collection'!S132, "")</f>
        <v/>
      </c>
      <c r="H42" s="444"/>
      <c r="I42" s="649" t="str">
        <f t="shared" si="11"/>
        <v/>
      </c>
      <c r="J42" s="650" t="str">
        <f>IF(ISNUMBER('Eluate Collection'!$Q132), SUM('Eluate Collection'!$Q$123:'Eluate Collection'!$Q132), "")</f>
        <v/>
      </c>
      <c r="K42" s="449" t="str">
        <f t="shared" si="2"/>
        <v/>
      </c>
      <c r="L42" s="197" t="str">
        <f>IF(ISNUMBER('Eluate Collection'!X118), 'Eluate Collection'!X118, "")</f>
        <v/>
      </c>
      <c r="M42" s="183" t="str">
        <f>IF(ISNUMBER('Eluate Collection'!Y118), 'Eluate Collection'!Y118, "")</f>
        <v/>
      </c>
      <c r="N42" s="193" t="str">
        <f>IF(ISNUMBER('Eluate Collection'!Z118), 'Eluate Collection'!Z118, "")</f>
        <v/>
      </c>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1"/>
      <c r="BG42" s="478"/>
    </row>
    <row r="43" spans="1:59" ht="15" customHeight="1" x14ac:dyDescent="0.3">
      <c r="B43" s="363"/>
      <c r="C43" s="187" t="str">
        <f>IF(D$6="", "", CONCATENATE(D6,"-",D7,"-B01-", 'Eluate Collection'!R$8))</f>
        <v/>
      </c>
      <c r="D43" s="188" t="s">
        <v>449</v>
      </c>
      <c r="E43" s="189" t="s">
        <v>63</v>
      </c>
      <c r="F43" s="190" t="s">
        <v>63</v>
      </c>
      <c r="G43" s="191" t="s">
        <v>63</v>
      </c>
      <c r="H43" s="444"/>
      <c r="I43" s="194" t="s">
        <v>63</v>
      </c>
      <c r="J43" s="195" t="s">
        <v>63</v>
      </c>
      <c r="K43" s="450" t="s">
        <v>63</v>
      </c>
      <c r="L43" s="198" t="s">
        <v>63</v>
      </c>
      <c r="M43" s="189" t="s">
        <v>63</v>
      </c>
      <c r="N43" s="195" t="s">
        <v>63</v>
      </c>
      <c r="O43" s="503"/>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5"/>
      <c r="BG43" s="478"/>
    </row>
    <row r="44" spans="1:59" ht="15" customHeight="1" x14ac:dyDescent="0.3">
      <c r="B44" s="363"/>
      <c r="C44" s="187" t="str">
        <f>IF(D$6="", "", CONCATENATE(D6,"-",D7,"-B01-", 'Eluate Collection'!R$53))</f>
        <v/>
      </c>
      <c r="D44" s="188" t="s">
        <v>449</v>
      </c>
      <c r="E44" s="189" t="s">
        <v>63</v>
      </c>
      <c r="F44" s="190" t="s">
        <v>63</v>
      </c>
      <c r="G44" s="191" t="s">
        <v>63</v>
      </c>
      <c r="H44" s="444"/>
      <c r="I44" s="194" t="s">
        <v>63</v>
      </c>
      <c r="J44" s="195" t="s">
        <v>63</v>
      </c>
      <c r="K44" s="450" t="s">
        <v>63</v>
      </c>
      <c r="L44" s="198" t="s">
        <v>63</v>
      </c>
      <c r="M44" s="189" t="s">
        <v>63</v>
      </c>
      <c r="N44" s="195" t="s">
        <v>63</v>
      </c>
      <c r="O44" s="503"/>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5"/>
      <c r="BG44" s="478"/>
    </row>
    <row r="45" spans="1:59" ht="15" customHeight="1" x14ac:dyDescent="0.3">
      <c r="B45" s="363"/>
      <c r="C45" s="187" t="str">
        <f>IF(D$6="", "", CONCATENATE(D6,"-",D7,"-B01-", 'Eluate Collection'!R$98))</f>
        <v/>
      </c>
      <c r="D45" s="188" t="s">
        <v>449</v>
      </c>
      <c r="E45" s="189" t="s">
        <v>63</v>
      </c>
      <c r="F45" s="190" t="s">
        <v>63</v>
      </c>
      <c r="G45" s="191" t="s">
        <v>63</v>
      </c>
      <c r="H45" s="444"/>
      <c r="I45" s="194" t="s">
        <v>63</v>
      </c>
      <c r="J45" s="195" t="s">
        <v>63</v>
      </c>
      <c r="K45" s="450" t="s">
        <v>63</v>
      </c>
      <c r="L45" s="198" t="s">
        <v>63</v>
      </c>
      <c r="M45" s="189" t="s">
        <v>63</v>
      </c>
      <c r="N45" s="195" t="s">
        <v>63</v>
      </c>
      <c r="O45" s="503"/>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5"/>
      <c r="BG45" s="478"/>
    </row>
    <row r="46" spans="1:59" s="29" customFormat="1" ht="15" customHeight="1" x14ac:dyDescent="0.3">
      <c r="A46" s="23"/>
      <c r="B46" s="363"/>
      <c r="C46" s="352"/>
      <c r="D46" s="445"/>
      <c r="E46" s="445"/>
      <c r="F46" s="445"/>
      <c r="G46" s="445"/>
      <c r="H46" s="445"/>
      <c r="I46" s="445"/>
      <c r="J46" s="446"/>
      <c r="K46" s="355"/>
      <c r="L46" s="355"/>
      <c r="M46" s="355"/>
      <c r="N46" s="355"/>
      <c r="O46" s="502"/>
      <c r="P46" s="25"/>
      <c r="Q46" s="25"/>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478"/>
    </row>
    <row r="47" spans="1:59" s="29" customFormat="1" x14ac:dyDescent="0.3">
      <c r="C47" s="17"/>
      <c r="D47" s="18"/>
      <c r="E47" s="18"/>
      <c r="F47" s="18"/>
      <c r="G47" s="18"/>
      <c r="H47" s="18"/>
      <c r="I47" s="18"/>
      <c r="J47" s="19"/>
      <c r="K47" s="17"/>
      <c r="L47" s="17"/>
      <c r="M47" s="19"/>
      <c r="N47" s="19"/>
      <c r="O47" s="76"/>
      <c r="P47" s="17"/>
      <c r="Q47" s="17"/>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410"/>
    </row>
    <row r="48" spans="1:59" x14ac:dyDescent="0.3">
      <c r="A48" s="29"/>
      <c r="B48" s="29"/>
      <c r="C48" s="17"/>
      <c r="D48" s="18"/>
      <c r="E48" s="18"/>
      <c r="F48" s="18"/>
      <c r="G48" s="18"/>
      <c r="H48" s="18"/>
      <c r="I48" s="18"/>
      <c r="J48" s="17"/>
      <c r="K48" s="17"/>
      <c r="L48" s="17"/>
      <c r="M48" s="17"/>
      <c r="N48" s="17"/>
      <c r="O48" s="76"/>
      <c r="P48" s="17"/>
      <c r="Q48" s="17"/>
      <c r="BG48" s="410"/>
    </row>
    <row r="49" spans="15:17" x14ac:dyDescent="0.3">
      <c r="O49" s="76"/>
      <c r="P49" s="17"/>
      <c r="Q49" s="17"/>
    </row>
  </sheetData>
  <mergeCells count="8">
    <mergeCell ref="G11:I11"/>
    <mergeCell ref="AW12:BF12"/>
    <mergeCell ref="U1:AK1"/>
    <mergeCell ref="O12:Y12"/>
    <mergeCell ref="Z12:AJ12"/>
    <mergeCell ref="AK12:AV12"/>
    <mergeCell ref="AL1:BB1"/>
    <mergeCell ref="A1:T1"/>
  </mergeCells>
  <dataValidations count="2">
    <dataValidation type="list" allowBlank="1" showInputMessage="1" showErrorMessage="1" sqref="BH8 O8:BF8" xr:uid="{00000000-0002-0000-0400-000000000000}">
      <formula1>Analysis_Methods</formula1>
    </dataValidation>
    <dataValidation type="list" allowBlank="1" showInputMessage="1" showErrorMessage="1" sqref="O7:BF7" xr:uid="{00000000-0002-0000-0400-000001000000}">
      <formula1>Reporting_Type</formula1>
    </dataValidation>
  </dataValidations>
  <pageMargins left="0.7" right="0.7" top="0.75" bottom="0.75" header="0.3" footer="0.3"/>
  <pageSetup scale="55" orientation="landscape" r:id="rId1"/>
  <colBreaks count="1" manualBreakCount="1">
    <brk id="20"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06"/>
  <sheetViews>
    <sheetView zoomScaleNormal="100" workbookViewId="0">
      <selection activeCell="Z32" sqref="Z32"/>
    </sheetView>
  </sheetViews>
  <sheetFormatPr defaultColWidth="9.109375" defaultRowHeight="14.4" x14ac:dyDescent="0.3"/>
  <cols>
    <col min="1" max="1" width="6.6640625" style="23" customWidth="1"/>
    <col min="2" max="2" width="3.6640625" style="23" hidden="1" customWidth="1"/>
    <col min="3" max="3" width="10.109375" style="23" hidden="1" customWidth="1"/>
    <col min="4" max="11" width="0" style="23" hidden="1" customWidth="1"/>
    <col min="12" max="13" width="3.6640625" style="23" hidden="1" customWidth="1"/>
    <col min="14" max="14" width="3.6640625" style="23" customWidth="1"/>
    <col min="15" max="15" width="2.6640625" style="23" customWidth="1"/>
    <col min="16" max="17" width="9.6640625" style="23" customWidth="1"/>
    <col min="18" max="18" width="2.6640625" style="23" customWidth="1"/>
    <col min="19" max="19" width="9.6640625" style="23" customWidth="1"/>
    <col min="20" max="23" width="9.109375" style="23" customWidth="1"/>
    <col min="24" max="24" width="9.109375" style="23"/>
    <col min="25" max="25" width="3.6640625" style="23" customWidth="1"/>
    <col min="26" max="27" width="10.6640625" style="23" customWidth="1"/>
    <col min="28" max="30" width="3.6640625" style="23" customWidth="1"/>
    <col min="31" max="31" width="9.109375" style="23"/>
    <col min="32" max="39" width="10.6640625" style="23" customWidth="1"/>
    <col min="40" max="16384" width="9.109375" style="23"/>
  </cols>
  <sheetData>
    <row r="1" spans="1:45" ht="18" x14ac:dyDescent="0.35">
      <c r="B1" s="213"/>
      <c r="C1" s="213"/>
      <c r="D1" s="213"/>
      <c r="E1" s="213"/>
      <c r="F1" s="213"/>
      <c r="G1" s="213" t="s">
        <v>770</v>
      </c>
      <c r="H1" s="213"/>
      <c r="I1" s="213"/>
      <c r="J1" s="213"/>
      <c r="K1" s="213"/>
      <c r="L1" s="213"/>
      <c r="M1" s="213"/>
      <c r="N1" s="213"/>
      <c r="O1" s="213"/>
      <c r="P1" s="213"/>
      <c r="Q1" s="213"/>
      <c r="R1" s="213"/>
      <c r="S1" s="213"/>
      <c r="T1" s="213"/>
      <c r="U1" s="213" t="s">
        <v>776</v>
      </c>
      <c r="V1" s="213"/>
      <c r="W1" s="213"/>
      <c r="X1" s="213"/>
      <c r="Y1" s="213"/>
      <c r="Z1" s="213"/>
      <c r="AA1" s="213"/>
      <c r="AB1" s="213"/>
      <c r="AC1" s="213"/>
      <c r="AD1" s="213"/>
      <c r="AE1" s="213"/>
      <c r="AF1" s="213"/>
      <c r="AG1" s="213"/>
      <c r="AH1" s="213"/>
      <c r="AI1" s="213" t="s">
        <v>776</v>
      </c>
      <c r="AJ1" s="213"/>
      <c r="AK1" s="213"/>
      <c r="AL1" s="213"/>
      <c r="AM1" s="213"/>
      <c r="AN1" s="213"/>
      <c r="AO1" s="213"/>
      <c r="AP1" s="14"/>
      <c r="AQ1" s="14"/>
      <c r="AR1" s="14"/>
      <c r="AS1" s="14"/>
    </row>
    <row r="2" spans="1:45" x14ac:dyDescent="0.3">
      <c r="AI2" s="44" t="s">
        <v>226</v>
      </c>
    </row>
    <row r="3" spans="1:45" ht="15.6" x14ac:dyDescent="0.3">
      <c r="B3" s="33" t="s">
        <v>310</v>
      </c>
      <c r="C3" s="9"/>
      <c r="D3" s="30"/>
      <c r="E3" s="30"/>
      <c r="F3" s="30"/>
      <c r="G3" s="30"/>
      <c r="H3" s="30"/>
      <c r="I3" s="30"/>
      <c r="J3" s="30"/>
      <c r="K3" s="30"/>
      <c r="L3" s="30"/>
      <c r="O3" s="103" t="s">
        <v>309</v>
      </c>
      <c r="P3" s="13"/>
      <c r="Q3" s="13"/>
      <c r="R3" s="13"/>
      <c r="S3" s="13"/>
      <c r="T3" s="13"/>
      <c r="U3" s="12"/>
      <c r="V3" s="13"/>
      <c r="W3" s="13"/>
      <c r="X3" s="12"/>
      <c r="Y3" s="12"/>
      <c r="Z3" s="30"/>
      <c r="AA3" s="30"/>
      <c r="AB3" s="30"/>
      <c r="AC3" s="29"/>
      <c r="AD3" s="29"/>
      <c r="AI3" s="44"/>
    </row>
    <row r="4" spans="1:45" x14ac:dyDescent="0.3">
      <c r="B4" s="30"/>
      <c r="C4" s="30"/>
      <c r="D4" s="30"/>
      <c r="E4" s="30"/>
      <c r="F4" s="30"/>
      <c r="G4" s="30"/>
      <c r="H4" s="30"/>
      <c r="I4" s="30"/>
      <c r="J4" s="30"/>
      <c r="K4" s="30"/>
      <c r="L4" s="30"/>
      <c r="O4" s="12"/>
      <c r="P4" s="13"/>
      <c r="Q4" s="13"/>
      <c r="R4" s="13"/>
      <c r="S4" s="13"/>
      <c r="T4" s="13"/>
      <c r="U4" s="13"/>
      <c r="V4" s="13"/>
      <c r="W4" s="13"/>
      <c r="X4" s="12"/>
      <c r="Y4" s="12"/>
      <c r="Z4" s="30"/>
      <c r="AA4" s="30"/>
      <c r="AB4" s="30"/>
      <c r="AC4" s="29"/>
      <c r="AD4" s="29"/>
      <c r="AI4" s="44" t="s">
        <v>238</v>
      </c>
    </row>
    <row r="5" spans="1:45" ht="15" thickBot="1" x14ac:dyDescent="0.35">
      <c r="B5" s="30"/>
      <c r="C5" s="30"/>
      <c r="D5" s="30"/>
      <c r="E5" s="30"/>
      <c r="F5" s="30"/>
      <c r="G5" s="30"/>
      <c r="H5" s="30"/>
      <c r="I5" s="30"/>
      <c r="J5" s="30"/>
      <c r="K5" s="30"/>
      <c r="L5" s="30"/>
      <c r="O5" s="12"/>
      <c r="P5" s="270"/>
      <c r="Q5" s="270"/>
      <c r="R5" s="270"/>
      <c r="S5" s="270"/>
      <c r="T5" s="271" t="s">
        <v>236</v>
      </c>
      <c r="U5" s="717" t="s">
        <v>227</v>
      </c>
      <c r="V5" s="718"/>
      <c r="W5" s="719"/>
      <c r="X5" s="272"/>
      <c r="Y5" s="272"/>
      <c r="Z5" s="272"/>
      <c r="AA5" s="272"/>
      <c r="AB5" s="30"/>
      <c r="AC5" s="29"/>
      <c r="AD5" s="29"/>
      <c r="AF5" s="43"/>
    </row>
    <row r="6" spans="1:45" ht="15.6" thickTop="1" thickBot="1" x14ac:dyDescent="0.35">
      <c r="B6" s="30"/>
      <c r="C6" s="30"/>
      <c r="D6" s="30"/>
      <c r="E6" s="30"/>
      <c r="F6" s="30"/>
      <c r="G6" s="30"/>
      <c r="H6" s="30"/>
      <c r="I6" s="30"/>
      <c r="J6" s="30"/>
      <c r="K6" s="30"/>
      <c r="L6" s="30"/>
      <c r="O6" s="67"/>
      <c r="P6" s="273"/>
      <c r="Q6" s="272"/>
      <c r="R6" s="272"/>
      <c r="S6" s="272"/>
      <c r="T6" s="272"/>
      <c r="U6" s="272"/>
      <c r="V6" s="272"/>
      <c r="W6" s="272"/>
      <c r="X6" s="272"/>
      <c r="Y6" s="272"/>
      <c r="Z6" s="272"/>
      <c r="AA6" s="272"/>
      <c r="AB6" s="30"/>
      <c r="AC6" s="71"/>
      <c r="AD6" s="29"/>
      <c r="AF6" s="730" t="s">
        <v>232</v>
      </c>
      <c r="AG6" s="731"/>
      <c r="AH6" s="732" t="s">
        <v>73</v>
      </c>
      <c r="AI6" s="731"/>
      <c r="AJ6" s="98" t="s">
        <v>162</v>
      </c>
      <c r="AK6" s="98" t="s">
        <v>84</v>
      </c>
      <c r="AL6" s="97" t="s">
        <v>206</v>
      </c>
      <c r="AM6" s="99" t="s">
        <v>85</v>
      </c>
    </row>
    <row r="7" spans="1:45" ht="15.75" customHeight="1" thickBot="1" x14ac:dyDescent="0.35">
      <c r="B7" s="30"/>
      <c r="C7" s="30"/>
      <c r="D7" s="30"/>
      <c r="E7" s="30"/>
      <c r="F7" s="30"/>
      <c r="G7" s="30"/>
      <c r="H7" s="30"/>
      <c r="I7" s="30"/>
      <c r="J7" s="30"/>
      <c r="K7" s="30"/>
      <c r="L7" s="30"/>
      <c r="O7" s="67"/>
      <c r="P7" s="274" t="s">
        <v>40</v>
      </c>
      <c r="Q7" s="274" t="s">
        <v>54</v>
      </c>
      <c r="R7" s="275"/>
      <c r="S7" s="276" t="s">
        <v>86</v>
      </c>
      <c r="T7" s="729" t="s">
        <v>233</v>
      </c>
      <c r="U7" s="729"/>
      <c r="V7" s="729"/>
      <c r="W7" s="729"/>
      <c r="X7" s="729"/>
      <c r="Y7" s="277"/>
      <c r="Z7" s="274" t="s">
        <v>235</v>
      </c>
      <c r="AA7" s="274" t="s">
        <v>237</v>
      </c>
      <c r="AB7" s="3"/>
      <c r="AC7" s="8"/>
      <c r="AD7" s="29"/>
      <c r="AF7" s="45" t="s">
        <v>40</v>
      </c>
      <c r="AG7" s="45" t="s">
        <v>207</v>
      </c>
      <c r="AH7" s="726" t="s">
        <v>227</v>
      </c>
      <c r="AI7" s="727"/>
      <c r="AJ7" s="726" t="s">
        <v>208</v>
      </c>
      <c r="AK7" s="727"/>
      <c r="AL7" s="726" t="s">
        <v>209</v>
      </c>
      <c r="AM7" s="728"/>
    </row>
    <row r="8" spans="1:45" ht="15" thickBot="1" x14ac:dyDescent="0.35">
      <c r="B8" s="30"/>
      <c r="C8" s="30"/>
      <c r="D8" s="30"/>
      <c r="E8" s="30"/>
      <c r="F8" s="30"/>
      <c r="G8" s="30"/>
      <c r="H8" s="30"/>
      <c r="I8" s="30"/>
      <c r="J8" s="30"/>
      <c r="K8" s="30"/>
      <c r="L8" s="30"/>
      <c r="O8" s="67"/>
      <c r="P8" s="278" t="s">
        <v>47</v>
      </c>
      <c r="Q8" s="278" t="s">
        <v>15</v>
      </c>
      <c r="R8" s="275"/>
      <c r="S8" s="275" t="s">
        <v>80</v>
      </c>
      <c r="T8" s="274" t="s">
        <v>81</v>
      </c>
      <c r="U8" s="274" t="s">
        <v>82</v>
      </c>
      <c r="V8" s="274" t="s">
        <v>205</v>
      </c>
      <c r="W8" s="274" t="s">
        <v>83</v>
      </c>
      <c r="X8" s="274" t="s">
        <v>234</v>
      </c>
      <c r="Y8" s="278"/>
      <c r="Z8" s="278" t="s">
        <v>15</v>
      </c>
      <c r="AA8" s="279" t="s">
        <v>40</v>
      </c>
      <c r="AB8" s="6"/>
      <c r="AC8" s="8"/>
      <c r="AD8" s="29"/>
      <c r="AF8" s="47" t="s">
        <v>47</v>
      </c>
      <c r="AG8" s="47" t="s">
        <v>56</v>
      </c>
      <c r="AH8" s="47" t="s">
        <v>210</v>
      </c>
      <c r="AI8" s="48" t="s">
        <v>211</v>
      </c>
      <c r="AJ8" s="47" t="s">
        <v>210</v>
      </c>
      <c r="AK8" s="47" t="s">
        <v>211</v>
      </c>
      <c r="AL8" s="49" t="s">
        <v>210</v>
      </c>
      <c r="AM8" s="50" t="s">
        <v>211</v>
      </c>
    </row>
    <row r="9" spans="1:45" ht="15.6" thickTop="1" thickBot="1" x14ac:dyDescent="0.35">
      <c r="B9" s="30"/>
      <c r="C9" s="30"/>
      <c r="D9" s="30"/>
      <c r="E9" s="30"/>
      <c r="F9" s="30"/>
      <c r="G9" s="30"/>
      <c r="H9" s="30"/>
      <c r="I9" s="30"/>
      <c r="J9" s="30"/>
      <c r="K9" s="30"/>
      <c r="L9" s="30"/>
      <c r="O9" s="67"/>
      <c r="P9" s="280"/>
      <c r="Q9" s="281" t="s">
        <v>57</v>
      </c>
      <c r="R9" s="282"/>
      <c r="S9" s="283" t="s">
        <v>47</v>
      </c>
      <c r="T9" s="281" t="s">
        <v>57</v>
      </c>
      <c r="U9" s="281" t="s">
        <v>57</v>
      </c>
      <c r="V9" s="281" t="s">
        <v>57</v>
      </c>
      <c r="W9" s="281" t="s">
        <v>57</v>
      </c>
      <c r="X9" s="281" t="s">
        <v>57</v>
      </c>
      <c r="Y9" s="284"/>
      <c r="Z9" s="285" t="s">
        <v>57</v>
      </c>
      <c r="AA9" s="285" t="s">
        <v>57</v>
      </c>
      <c r="AB9" s="6"/>
      <c r="AC9" s="29"/>
      <c r="AD9" s="29"/>
      <c r="AF9" s="46" t="s">
        <v>64</v>
      </c>
      <c r="AG9" s="46" t="s">
        <v>212</v>
      </c>
      <c r="AH9" s="51" t="s">
        <v>213</v>
      </c>
      <c r="AI9" s="51" t="s">
        <v>213</v>
      </c>
      <c r="AJ9" s="51" t="s">
        <v>213</v>
      </c>
      <c r="AK9" s="74" t="s">
        <v>213</v>
      </c>
      <c r="AL9" s="52" t="s">
        <v>213</v>
      </c>
      <c r="AM9" s="53" t="s">
        <v>213</v>
      </c>
    </row>
    <row r="10" spans="1:45" ht="15.6" thickTop="1" thickBot="1" x14ac:dyDescent="0.35">
      <c r="B10" s="30"/>
      <c r="C10" s="30"/>
      <c r="D10" s="30"/>
      <c r="E10" s="30"/>
      <c r="F10" s="30"/>
      <c r="G10" s="30"/>
      <c r="H10" s="30"/>
      <c r="I10" s="30"/>
      <c r="J10" s="30"/>
      <c r="K10" s="30"/>
      <c r="L10" s="30"/>
      <c r="O10" s="68"/>
      <c r="P10" s="286" t="s">
        <v>64</v>
      </c>
      <c r="Q10" s="287" t="str">
        <f>IF(ISNUMBER('Eluate Collection'!$R34),'Eluate Collection'!$R34*'Eluate Collection'!$V$11, "")</f>
        <v/>
      </c>
      <c r="R10" s="288"/>
      <c r="S10" s="289" t="s">
        <v>64</v>
      </c>
      <c r="T10" s="290">
        <v>43.5</v>
      </c>
      <c r="U10" s="290">
        <v>10</v>
      </c>
      <c r="V10" s="290">
        <v>25</v>
      </c>
      <c r="W10" s="290">
        <v>10</v>
      </c>
      <c r="X10" s="291">
        <f t="shared" ref="X10:X18" si="0">IF(SUM(T10:W10)&gt;0, SUM(T10:W10), "")</f>
        <v>88.5</v>
      </c>
      <c r="Y10" s="292"/>
      <c r="Z10" s="293">
        <f>IF(ISNUMBER(X10), ROUNDUP(X10, -1), 90)</f>
        <v>90</v>
      </c>
      <c r="AA10" s="294"/>
      <c r="AB10" s="6"/>
      <c r="AC10" s="29"/>
      <c r="AD10" s="29"/>
      <c r="AF10" s="46" t="s">
        <v>65</v>
      </c>
      <c r="AG10" s="46" t="s">
        <v>214</v>
      </c>
      <c r="AH10" s="51" t="s">
        <v>213</v>
      </c>
      <c r="AI10" s="51" t="s">
        <v>213</v>
      </c>
      <c r="AJ10" s="51" t="s">
        <v>213</v>
      </c>
      <c r="AK10" s="74" t="s">
        <v>213</v>
      </c>
      <c r="AL10" s="54"/>
      <c r="AM10" s="59" t="s">
        <v>215</v>
      </c>
    </row>
    <row r="11" spans="1:45" ht="15" thickBot="1" x14ac:dyDescent="0.35">
      <c r="B11" s="30"/>
      <c r="C11" s="30"/>
      <c r="D11" s="30"/>
      <c r="E11" s="30"/>
      <c r="F11" s="30"/>
      <c r="G11" s="30"/>
      <c r="H11" s="30"/>
      <c r="I11" s="30"/>
      <c r="J11" s="30"/>
      <c r="K11" s="30"/>
      <c r="L11" s="30"/>
      <c r="O11" s="67"/>
      <c r="P11" s="295" t="s">
        <v>65</v>
      </c>
      <c r="Q11" s="296" t="str">
        <f>IF(ISNUMBER('Eluate Collection'!$R35),('Eluate Collection'!$R35*'Eluate Collection'!$V$11)-SUM(Q$10:Q10), "")</f>
        <v/>
      </c>
      <c r="R11" s="288"/>
      <c r="S11" s="297" t="str">
        <f>IF($U$5&lt;&gt;Lists!F28, "T02", "")</f>
        <v>T02</v>
      </c>
      <c r="T11" s="298">
        <v>43.5</v>
      </c>
      <c r="U11" s="298">
        <v>25</v>
      </c>
      <c r="V11" s="298">
        <v>25</v>
      </c>
      <c r="W11" s="298">
        <v>25</v>
      </c>
      <c r="X11" s="299">
        <f t="shared" si="0"/>
        <v>118.5</v>
      </c>
      <c r="Y11" s="292"/>
      <c r="Z11" s="300">
        <f>IF(ISNUMBER(X11), ROUNDUP(X11, -1), 100)</f>
        <v>120</v>
      </c>
      <c r="AA11" s="301" t="str">
        <f>IF(AND($U$5=Lists!F28,SUM($Q$11:$Q$14)&gt;0), Z14*Q11/SUM(Q$11:Q$14),"")</f>
        <v/>
      </c>
      <c r="AB11" s="6"/>
      <c r="AC11" s="29"/>
      <c r="AD11" s="29"/>
      <c r="AF11" s="46" t="s">
        <v>66</v>
      </c>
      <c r="AG11" s="46" t="s">
        <v>216</v>
      </c>
      <c r="AH11" s="51" t="s">
        <v>213</v>
      </c>
      <c r="AI11" s="51" t="s">
        <v>213</v>
      </c>
      <c r="AJ11" s="51" t="s">
        <v>213</v>
      </c>
      <c r="AK11" s="74" t="s">
        <v>213</v>
      </c>
      <c r="AL11" s="54"/>
      <c r="AM11" s="59" t="s">
        <v>215</v>
      </c>
    </row>
    <row r="12" spans="1:45" ht="15" thickBot="1" x14ac:dyDescent="0.35">
      <c r="B12" s="30"/>
      <c r="C12" s="30"/>
      <c r="D12" s="30"/>
      <c r="E12" s="30"/>
      <c r="F12" s="30"/>
      <c r="G12" s="30"/>
      <c r="H12" s="30"/>
      <c r="I12" s="30"/>
      <c r="J12" s="30"/>
      <c r="K12" s="30"/>
      <c r="L12" s="30"/>
      <c r="O12" s="67"/>
      <c r="P12" s="295" t="s">
        <v>66</v>
      </c>
      <c r="Q12" s="296" t="str">
        <f>IF(ISNUMBER('Eluate Collection'!$R36),('Eluate Collection'!$R36*'Eluate Collection'!$V$11)-SUM(Q$10:Q11), "")</f>
        <v/>
      </c>
      <c r="R12" s="288"/>
      <c r="S12" s="297" t="str">
        <f>IF($U$5&lt;&gt;Lists!F28, "T03", "")</f>
        <v>T03</v>
      </c>
      <c r="T12" s="298">
        <v>87</v>
      </c>
      <c r="U12" s="298">
        <v>25</v>
      </c>
      <c r="V12" s="298">
        <v>25</v>
      </c>
      <c r="W12" s="298">
        <v>50</v>
      </c>
      <c r="X12" s="299">
        <f t="shared" si="0"/>
        <v>187</v>
      </c>
      <c r="Y12" s="292"/>
      <c r="Z12" s="300">
        <f t="shared" ref="Z12:Z18" si="1">IF(ISNUMBER(X12), ROUNDUP(X12, -2), 200)</f>
        <v>200</v>
      </c>
      <c r="AA12" s="301" t="str">
        <f>IF(AND($U$5=Lists!F28,SUM($Q$11:$Q$14)&gt;0), Z14*Q12/SUM(Q$11:Q$14),"")</f>
        <v/>
      </c>
      <c r="AB12" s="6"/>
      <c r="AC12" s="29"/>
      <c r="AD12" s="29"/>
      <c r="AF12" s="46" t="s">
        <v>67</v>
      </c>
      <c r="AG12" s="46" t="s">
        <v>217</v>
      </c>
      <c r="AH12" s="51" t="s">
        <v>213</v>
      </c>
      <c r="AI12" s="51" t="s">
        <v>213</v>
      </c>
      <c r="AJ12" s="51"/>
      <c r="AK12" s="63" t="s">
        <v>215</v>
      </c>
      <c r="AL12" s="52"/>
      <c r="AM12" s="59" t="s">
        <v>215</v>
      </c>
    </row>
    <row r="13" spans="1:45" ht="15" thickBot="1" x14ac:dyDescent="0.35">
      <c r="B13" s="30"/>
      <c r="C13" s="30"/>
      <c r="D13" s="30"/>
      <c r="E13" s="30"/>
      <c r="F13" s="30"/>
      <c r="G13" s="30"/>
      <c r="H13" s="30"/>
      <c r="I13" s="30"/>
      <c r="J13" s="30"/>
      <c r="K13" s="30"/>
      <c r="L13" s="30"/>
      <c r="O13" s="67"/>
      <c r="P13" s="295" t="s">
        <v>67</v>
      </c>
      <c r="Q13" s="296" t="str">
        <f>IF(ISNUMBER('Eluate Collection'!$R37),('Eluate Collection'!$R37*'Eluate Collection'!$V$11)-SUM(Q$10:Q12), "")</f>
        <v/>
      </c>
      <c r="R13" s="288"/>
      <c r="S13" s="297" t="str">
        <f>IF($U$5=Lists!F26, "T04", "")</f>
        <v>T04</v>
      </c>
      <c r="T13" s="298">
        <v>87</v>
      </c>
      <c r="U13" s="298">
        <v>25</v>
      </c>
      <c r="V13" s="298">
        <v>25</v>
      </c>
      <c r="W13" s="298">
        <v>50</v>
      </c>
      <c r="X13" s="299">
        <f t="shared" si="0"/>
        <v>187</v>
      </c>
      <c r="Y13" s="292"/>
      <c r="Z13" s="300">
        <f t="shared" si="1"/>
        <v>200</v>
      </c>
      <c r="AA13" s="301" t="str">
        <f>IF(AND($U$5=Lists!F28,SUM(Q$11:Q$14)&gt;0), Z14*Q13/SUM($Q$11:$Q$14), (IF(AND($U$5=Lists!F27, SUM(Q$13:Q$14)&gt;0), Z14*Q13/SUM($Q$13:$Q$14), "")))</f>
        <v/>
      </c>
      <c r="AB13" s="6"/>
      <c r="AC13" s="29"/>
      <c r="AD13" s="29"/>
      <c r="AF13" s="46" t="s">
        <v>68</v>
      </c>
      <c r="AG13" s="46" t="s">
        <v>218</v>
      </c>
      <c r="AH13" s="51" t="s">
        <v>213</v>
      </c>
      <c r="AI13" s="51" t="s">
        <v>213</v>
      </c>
      <c r="AJ13" s="51" t="s">
        <v>213</v>
      </c>
      <c r="AK13" s="64" t="s">
        <v>228</v>
      </c>
      <c r="AL13" s="52" t="s">
        <v>213</v>
      </c>
      <c r="AM13" s="60" t="s">
        <v>228</v>
      </c>
    </row>
    <row r="14" spans="1:45" ht="15" thickBot="1" x14ac:dyDescent="0.35">
      <c r="B14" s="30"/>
      <c r="C14" s="30"/>
      <c r="D14" s="30"/>
      <c r="E14" s="30"/>
      <c r="F14" s="30"/>
      <c r="G14" s="30"/>
      <c r="H14" s="30"/>
      <c r="I14" s="30"/>
      <c r="J14" s="30"/>
      <c r="K14" s="30"/>
      <c r="L14" s="30"/>
      <c r="O14" s="67"/>
      <c r="P14" s="295" t="s">
        <v>68</v>
      </c>
      <c r="Q14" s="296" t="str">
        <f>IF(ISNUMBER('Eluate Collection'!$R38),('Eluate Collection'!$R38*'Eluate Collection'!$V$11)-SUM(Q$10:Q13), "")</f>
        <v/>
      </c>
      <c r="R14" s="288"/>
      <c r="S14" s="297" t="str">
        <f>IF($U$5&lt;&gt;Lists!F26, "T05c", "T05")</f>
        <v>T05</v>
      </c>
      <c r="T14" s="298">
        <v>87</v>
      </c>
      <c r="U14" s="298">
        <v>25</v>
      </c>
      <c r="V14" s="298">
        <v>25</v>
      </c>
      <c r="W14" s="298">
        <v>50</v>
      </c>
      <c r="X14" s="299">
        <f t="shared" si="0"/>
        <v>187</v>
      </c>
      <c r="Y14" s="292"/>
      <c r="Z14" s="300">
        <f t="shared" si="1"/>
        <v>200</v>
      </c>
      <c r="AA14" s="301" t="str">
        <f>IF(AND($U$5=Lists!F28,SUM(Q$11:Q$14)&gt;0), Z14*Q14/SUM($Q$11:$Q$14), (IF(AND($U$5=Lists!F27, SUM(Q$13:Q$14)&gt;0), Z14*Q14/SUM($Q$13:$Q$14), "")))</f>
        <v/>
      </c>
      <c r="AB14" s="6"/>
      <c r="AC14" s="29"/>
      <c r="AD14" s="29"/>
      <c r="AF14" s="46" t="s">
        <v>69</v>
      </c>
      <c r="AG14" s="46" t="s">
        <v>219</v>
      </c>
      <c r="AH14" s="51" t="s">
        <v>213</v>
      </c>
      <c r="AI14" s="51" t="s">
        <v>213</v>
      </c>
      <c r="AJ14" s="51"/>
      <c r="AK14" s="72" t="s">
        <v>215</v>
      </c>
      <c r="AL14" s="54"/>
      <c r="AM14" s="61" t="s">
        <v>215</v>
      </c>
    </row>
    <row r="15" spans="1:45" ht="15" thickBot="1" x14ac:dyDescent="0.35">
      <c r="B15" s="30"/>
      <c r="C15" s="30"/>
      <c r="D15" s="30"/>
      <c r="E15" s="30"/>
      <c r="F15" s="30"/>
      <c r="G15" s="30"/>
      <c r="H15" s="30"/>
      <c r="I15" s="30"/>
      <c r="J15" s="30"/>
      <c r="K15" s="30"/>
      <c r="L15" s="30"/>
      <c r="O15" s="67"/>
      <c r="P15" s="295" t="s">
        <v>69</v>
      </c>
      <c r="Q15" s="296" t="str">
        <f>IF(ISNUMBER('Eluate Collection'!$R39),('Eluate Collection'!$R39*'Eluate Collection'!$V$11)-SUM(Q$10:Q14), "")</f>
        <v/>
      </c>
      <c r="R15" s="288"/>
      <c r="S15" s="297" t="str">
        <f>IF($U$5=Lists!F26, "T06", "")</f>
        <v>T06</v>
      </c>
      <c r="T15" s="298">
        <v>87</v>
      </c>
      <c r="U15" s="298">
        <v>25</v>
      </c>
      <c r="V15" s="298">
        <v>25</v>
      </c>
      <c r="W15" s="298">
        <v>100</v>
      </c>
      <c r="X15" s="299">
        <f t="shared" si="0"/>
        <v>237</v>
      </c>
      <c r="Y15" s="292"/>
      <c r="Z15" s="300">
        <f t="shared" si="1"/>
        <v>300</v>
      </c>
      <c r="AA15" s="301" t="str">
        <f>IF(AND($U$5=Lists!F28, SUM($Q$15:$Q$18)&gt;0), Z18*Q15/SUM($Q$15:$Q$18), (IF(AND($U$5=Lists!F27, SUM($Q$15:$Q$16)&gt;0), Z16*Q15/SUM($Q$15:$Q$16),"")))</f>
        <v/>
      </c>
      <c r="AB15" s="6"/>
      <c r="AC15" s="29"/>
      <c r="AD15" s="29"/>
      <c r="AF15" s="46" t="s">
        <v>70</v>
      </c>
      <c r="AG15" s="46" t="s">
        <v>220</v>
      </c>
      <c r="AH15" s="51" t="s">
        <v>213</v>
      </c>
      <c r="AI15" s="51" t="s">
        <v>213</v>
      </c>
      <c r="AJ15" s="51" t="s">
        <v>213</v>
      </c>
      <c r="AK15" s="73" t="s">
        <v>231</v>
      </c>
      <c r="AL15" s="54"/>
      <c r="AM15" s="61" t="s">
        <v>215</v>
      </c>
    </row>
    <row r="16" spans="1:45" ht="15" thickBot="1" x14ac:dyDescent="0.35">
      <c r="A16" s="29"/>
      <c r="B16" s="30"/>
      <c r="C16" s="30"/>
      <c r="D16" s="30"/>
      <c r="E16" s="30"/>
      <c r="F16" s="30"/>
      <c r="G16" s="30"/>
      <c r="H16" s="30"/>
      <c r="I16" s="30"/>
      <c r="J16" s="30"/>
      <c r="K16" s="30"/>
      <c r="L16" s="30"/>
      <c r="O16" s="67"/>
      <c r="P16" s="295" t="s">
        <v>70</v>
      </c>
      <c r="Q16" s="296" t="str">
        <f>IF(ISNUMBER('Eluate Collection'!$R40),('Eluate Collection'!$R40*'Eluate Collection'!$V$11)-SUM(Q$10:Q15), "")</f>
        <v/>
      </c>
      <c r="R16" s="288"/>
      <c r="S16" s="297" t="str">
        <f>IF($U$5=Lists!F26, "T07", IF($U$5=Lists!F27, "T07c", ""))</f>
        <v>T07</v>
      </c>
      <c r="T16" s="298">
        <v>87</v>
      </c>
      <c r="U16" s="298">
        <v>25</v>
      </c>
      <c r="V16" s="298">
        <v>25</v>
      </c>
      <c r="W16" s="298">
        <v>50</v>
      </c>
      <c r="X16" s="299">
        <f t="shared" si="0"/>
        <v>187</v>
      </c>
      <c r="Y16" s="292"/>
      <c r="Z16" s="300">
        <f t="shared" si="1"/>
        <v>200</v>
      </c>
      <c r="AA16" s="301" t="str">
        <f>IF(AND($U$5=Lists!F28, SUM($Q$15:$Q$18)&gt;0), Z18*Q16/SUM($Q$15:$Q$18), (IF(AND($U$5=Lists!F27, SUM($Q$15:$Q$16)&gt;0), Z16*Q16/SUM($Q$15:$Q$16),"")))</f>
        <v/>
      </c>
      <c r="AB16" s="6"/>
      <c r="AC16" s="29"/>
      <c r="AD16" s="29"/>
      <c r="AF16" s="46" t="s">
        <v>71</v>
      </c>
      <c r="AG16" s="46" t="s">
        <v>221</v>
      </c>
      <c r="AH16" s="51" t="s">
        <v>213</v>
      </c>
      <c r="AI16" s="51" t="s">
        <v>213</v>
      </c>
      <c r="AJ16" s="51"/>
      <c r="AK16" s="65" t="s">
        <v>215</v>
      </c>
      <c r="AL16" s="52"/>
      <c r="AM16" s="61" t="s">
        <v>215</v>
      </c>
    </row>
    <row r="17" spans="2:39" ht="15" thickBot="1" x14ac:dyDescent="0.35">
      <c r="B17" s="30"/>
      <c r="C17" s="30"/>
      <c r="D17" s="30"/>
      <c r="E17" s="30"/>
      <c r="F17" s="30"/>
      <c r="G17" s="30"/>
      <c r="H17" s="30"/>
      <c r="I17" s="30"/>
      <c r="J17" s="30"/>
      <c r="K17" s="30"/>
      <c r="L17" s="30"/>
      <c r="O17" s="69"/>
      <c r="P17" s="295" t="s">
        <v>71</v>
      </c>
      <c r="Q17" s="296" t="str">
        <f>IF(ISNUMBER('Eluate Collection'!$R41),('Eluate Collection'!$R41*'Eluate Collection'!$V$11)-SUM(Q$10:Q16), "")</f>
        <v/>
      </c>
      <c r="R17" s="288"/>
      <c r="S17" s="297" t="str">
        <f>IF($U$5=Lists!F26, "T08", "")</f>
        <v>T08</v>
      </c>
      <c r="T17" s="298">
        <v>87</v>
      </c>
      <c r="U17" s="298">
        <v>25</v>
      </c>
      <c r="V17" s="298">
        <v>25</v>
      </c>
      <c r="W17" s="298">
        <v>100</v>
      </c>
      <c r="X17" s="299">
        <f t="shared" si="0"/>
        <v>237</v>
      </c>
      <c r="Y17" s="292"/>
      <c r="Z17" s="300">
        <f t="shared" si="1"/>
        <v>300</v>
      </c>
      <c r="AA17" s="301" t="str">
        <f>IF(AND($U$5=Lists!F28, SUM($Q$15:$Q$18)&gt;0), Z18*Q17/SUM($Q$15:$Q$18), (IF(AND($U$5=Lists!F27, SUM($Q$17:$Q$18)&gt;0), Z18*Q17/SUM($Q$17:$Q$18),"")))</f>
        <v/>
      </c>
      <c r="AB17" s="6"/>
      <c r="AC17" s="29"/>
      <c r="AD17" s="29"/>
      <c r="AF17" s="47" t="s">
        <v>72</v>
      </c>
      <c r="AG17" s="47" t="s">
        <v>222</v>
      </c>
      <c r="AH17" s="55" t="s">
        <v>213</v>
      </c>
      <c r="AI17" s="55" t="s">
        <v>213</v>
      </c>
      <c r="AJ17" s="55" t="s">
        <v>213</v>
      </c>
      <c r="AK17" s="77" t="s">
        <v>230</v>
      </c>
      <c r="AL17" s="56" t="s">
        <v>213</v>
      </c>
      <c r="AM17" s="62" t="s">
        <v>229</v>
      </c>
    </row>
    <row r="18" spans="2:39" ht="15" thickTop="1" x14ac:dyDescent="0.3">
      <c r="B18" s="30"/>
      <c r="C18" s="30"/>
      <c r="D18" s="30"/>
      <c r="E18" s="30"/>
      <c r="F18" s="30"/>
      <c r="G18" s="30"/>
      <c r="H18" s="30"/>
      <c r="I18" s="30"/>
      <c r="J18" s="30"/>
      <c r="K18" s="30"/>
      <c r="L18" s="30"/>
      <c r="O18" s="67"/>
      <c r="P18" s="302" t="s">
        <v>72</v>
      </c>
      <c r="Q18" s="303" t="str">
        <f>IF(ISNUMBER('Eluate Collection'!$R42),('Eluate Collection'!$R42*'Eluate Collection'!$V$11)-SUM(Q$10:Q17), "")</f>
        <v/>
      </c>
      <c r="R18" s="288"/>
      <c r="S18" s="304" t="str">
        <f>IF($U$5&lt;&gt;Lists!F26, "T09c", "T09")</f>
        <v>T09</v>
      </c>
      <c r="T18" s="305">
        <v>87</v>
      </c>
      <c r="U18" s="305">
        <v>25</v>
      </c>
      <c r="V18" s="305">
        <v>25</v>
      </c>
      <c r="W18" s="305">
        <v>50</v>
      </c>
      <c r="X18" s="306">
        <f t="shared" si="0"/>
        <v>187</v>
      </c>
      <c r="Y18" s="292"/>
      <c r="Z18" s="307">
        <f t="shared" si="1"/>
        <v>200</v>
      </c>
      <c r="AA18" s="308" t="str">
        <f>IF(AND($U$5=Lists!F28, SUM($Q$15:$Q$18)&gt;0), Z18*Q18/SUM($Q$15:$Q$18), (IF(AND($U$5=Lists!F27, SUM($Q$17:$Q$18)&gt;0), Z18*Q18/SUM($Q$17:$Q$18),"")))</f>
        <v/>
      </c>
      <c r="AB18" s="6"/>
      <c r="AC18" s="29"/>
      <c r="AD18" s="29"/>
      <c r="AF18" s="43"/>
    </row>
    <row r="19" spans="2:39" x14ac:dyDescent="0.3">
      <c r="B19" s="30"/>
      <c r="C19" s="30"/>
      <c r="D19" s="30"/>
      <c r="E19" s="30"/>
      <c r="F19" s="30"/>
      <c r="G19" s="30"/>
      <c r="H19" s="30"/>
      <c r="I19" s="30"/>
      <c r="J19" s="30"/>
      <c r="K19" s="30"/>
      <c r="L19" s="30"/>
      <c r="O19" s="67"/>
      <c r="P19" s="70"/>
      <c r="Q19" s="30"/>
      <c r="R19" s="30"/>
      <c r="S19" s="30"/>
      <c r="T19" s="30"/>
      <c r="U19" s="30"/>
      <c r="V19" s="30"/>
      <c r="W19" s="30"/>
      <c r="X19" s="1"/>
      <c r="Y19" s="1"/>
      <c r="Z19" s="30"/>
      <c r="AA19" s="6"/>
      <c r="AB19" s="30"/>
      <c r="AF19" s="57" t="s">
        <v>223</v>
      </c>
    </row>
    <row r="20" spans="2:39" x14ac:dyDescent="0.3">
      <c r="B20" s="30"/>
      <c r="C20" s="30"/>
      <c r="D20" s="30"/>
      <c r="E20" s="30"/>
      <c r="F20" s="30"/>
      <c r="G20" s="30"/>
      <c r="H20" s="30"/>
      <c r="I20" s="30"/>
      <c r="J20" s="30"/>
      <c r="K20" s="30"/>
      <c r="L20" s="30"/>
      <c r="AF20" s="58" t="s">
        <v>224</v>
      </c>
    </row>
    <row r="21" spans="2:39" x14ac:dyDescent="0.3">
      <c r="B21" s="30"/>
      <c r="C21" s="30"/>
      <c r="D21" s="30"/>
      <c r="E21" s="30"/>
      <c r="F21" s="30"/>
      <c r="G21" s="30"/>
      <c r="H21" s="30"/>
      <c r="I21" s="30"/>
      <c r="J21" s="30"/>
      <c r="K21" s="30"/>
      <c r="L21" s="30"/>
      <c r="AA21" s="157"/>
      <c r="AF21" s="43" t="s">
        <v>225</v>
      </c>
    </row>
    <row r="22" spans="2:39" x14ac:dyDescent="0.3">
      <c r="B22" s="30"/>
      <c r="C22" s="30"/>
      <c r="D22" s="30"/>
      <c r="E22" s="30"/>
      <c r="F22" s="30"/>
      <c r="G22" s="30"/>
      <c r="H22" s="30"/>
      <c r="I22" s="30"/>
      <c r="J22" s="30"/>
      <c r="K22" s="30"/>
      <c r="L22" s="30"/>
      <c r="P22" s="8"/>
      <c r="Q22" s="42"/>
      <c r="R22" s="8"/>
      <c r="S22" s="8"/>
      <c r="T22" s="8"/>
      <c r="U22" s="8"/>
      <c r="V22" s="8"/>
      <c r="W22" s="8"/>
      <c r="AA22" s="158"/>
    </row>
    <row r="23" spans="2:39" x14ac:dyDescent="0.3">
      <c r="B23" s="30"/>
      <c r="C23" s="30"/>
      <c r="D23" s="30"/>
      <c r="E23" s="30"/>
      <c r="F23" s="30"/>
      <c r="G23" s="30"/>
      <c r="H23" s="30"/>
      <c r="I23" s="30"/>
      <c r="J23" s="30"/>
      <c r="K23" s="30"/>
      <c r="L23" s="30"/>
      <c r="P23" s="8"/>
      <c r="Q23" s="8"/>
      <c r="R23" s="8"/>
      <c r="S23" s="71"/>
      <c r="T23" s="71"/>
      <c r="U23" s="71"/>
      <c r="V23" s="71"/>
      <c r="W23" s="71"/>
    </row>
    <row r="24" spans="2:39" x14ac:dyDescent="0.3">
      <c r="B24" s="30"/>
      <c r="C24" s="30"/>
      <c r="D24" s="30"/>
      <c r="E24" s="30"/>
      <c r="F24" s="30"/>
      <c r="G24" s="30"/>
      <c r="H24" s="30"/>
      <c r="I24" s="30"/>
      <c r="J24" s="30"/>
      <c r="K24" s="30"/>
      <c r="L24" s="30"/>
      <c r="P24" s="8"/>
      <c r="Q24" s="71"/>
      <c r="R24" s="8"/>
      <c r="S24" s="71"/>
      <c r="T24" s="71"/>
      <c r="U24" s="71"/>
      <c r="V24" s="71"/>
      <c r="W24" s="71"/>
    </row>
    <row r="25" spans="2:39" x14ac:dyDescent="0.3">
      <c r="B25" s="29"/>
      <c r="C25" s="29"/>
      <c r="D25" s="29"/>
      <c r="E25" s="29"/>
      <c r="F25" s="29"/>
      <c r="G25" s="29"/>
      <c r="H25" s="29"/>
      <c r="I25" s="29"/>
      <c r="J25" s="29"/>
      <c r="K25" s="29"/>
      <c r="L25" s="29"/>
      <c r="P25" s="8"/>
      <c r="Q25" s="71"/>
      <c r="R25" s="8"/>
      <c r="S25" s="75"/>
      <c r="T25" s="75"/>
      <c r="U25" s="75"/>
      <c r="V25" s="75"/>
      <c r="W25" s="75"/>
    </row>
    <row r="26" spans="2:39" x14ac:dyDescent="0.3">
      <c r="B26" s="29"/>
      <c r="C26" s="29"/>
      <c r="D26" s="29"/>
      <c r="E26" s="29"/>
      <c r="F26" s="29"/>
      <c r="G26" s="29"/>
      <c r="H26" s="29"/>
      <c r="I26" s="29"/>
      <c r="J26" s="29"/>
      <c r="K26" s="29"/>
      <c r="L26" s="29"/>
      <c r="P26" s="8"/>
      <c r="Q26" s="76"/>
      <c r="R26" s="8"/>
      <c r="S26" s="66"/>
      <c r="T26" s="66"/>
      <c r="U26" s="66"/>
      <c r="V26" s="66"/>
      <c r="W26" s="66"/>
    </row>
    <row r="27" spans="2:39" x14ac:dyDescent="0.3">
      <c r="B27" s="29"/>
      <c r="C27" s="29"/>
      <c r="D27" s="29"/>
      <c r="E27" s="29"/>
      <c r="F27" s="29"/>
      <c r="G27" s="29"/>
      <c r="H27" s="29"/>
      <c r="I27" s="29"/>
      <c r="J27" s="29"/>
      <c r="K27" s="29"/>
      <c r="L27" s="29"/>
      <c r="P27" s="8"/>
      <c r="Q27" s="76"/>
      <c r="R27" s="8"/>
      <c r="S27" s="66"/>
      <c r="T27" s="66"/>
      <c r="U27" s="66"/>
      <c r="V27" s="66"/>
      <c r="W27" s="66"/>
    </row>
    <row r="28" spans="2:39" x14ac:dyDescent="0.3">
      <c r="B28" s="29"/>
      <c r="C28" s="29"/>
      <c r="D28" s="29"/>
      <c r="E28" s="29"/>
      <c r="F28" s="29"/>
      <c r="G28" s="29"/>
      <c r="H28" s="29"/>
      <c r="I28" s="29"/>
      <c r="J28" s="29"/>
      <c r="K28" s="29"/>
      <c r="L28" s="29"/>
      <c r="P28" s="8"/>
      <c r="Q28" s="76"/>
      <c r="R28" s="8"/>
      <c r="S28" s="66"/>
      <c r="T28" s="66"/>
      <c r="U28" s="66"/>
      <c r="V28" s="66"/>
      <c r="W28" s="66"/>
    </row>
    <row r="29" spans="2:39" x14ac:dyDescent="0.3">
      <c r="B29" s="29"/>
      <c r="C29" s="29"/>
      <c r="D29" s="29"/>
      <c r="E29" s="29"/>
      <c r="F29" s="29"/>
      <c r="G29" s="29"/>
      <c r="H29" s="29"/>
      <c r="I29" s="29"/>
      <c r="J29" s="29"/>
      <c r="K29" s="29"/>
      <c r="L29" s="29"/>
      <c r="P29" s="8"/>
      <c r="Q29" s="76"/>
      <c r="R29" s="8"/>
      <c r="S29" s="66"/>
      <c r="T29" s="66"/>
      <c r="U29" s="66"/>
      <c r="V29" s="66"/>
      <c r="W29" s="66"/>
    </row>
    <row r="30" spans="2:39" x14ac:dyDescent="0.3">
      <c r="P30" s="8"/>
      <c r="Q30" s="76"/>
      <c r="R30" s="8"/>
      <c r="S30" s="66"/>
      <c r="T30" s="66"/>
      <c r="U30" s="66"/>
      <c r="V30" s="66"/>
      <c r="W30" s="66"/>
    </row>
    <row r="31" spans="2:39" x14ac:dyDescent="0.3">
      <c r="C31" s="10"/>
      <c r="D31" s="10"/>
      <c r="E31" s="10"/>
      <c r="F31" s="10"/>
      <c r="G31" s="10"/>
      <c r="H31" s="10"/>
      <c r="I31" s="10"/>
      <c r="J31" s="10"/>
      <c r="K31" s="10"/>
      <c r="P31" s="8"/>
      <c r="Q31" s="76"/>
      <c r="R31" s="8"/>
      <c r="S31" s="66"/>
      <c r="T31" s="66"/>
      <c r="U31" s="66"/>
      <c r="V31" s="66"/>
      <c r="W31" s="66"/>
    </row>
    <row r="32" spans="2:39" x14ac:dyDescent="0.3">
      <c r="P32" s="8"/>
      <c r="Q32" s="76"/>
      <c r="R32" s="8"/>
      <c r="S32" s="8"/>
      <c r="T32" s="8"/>
      <c r="U32" s="8"/>
      <c r="V32" s="8"/>
      <c r="W32" s="8"/>
    </row>
    <row r="33" spans="1:23" x14ac:dyDescent="0.3">
      <c r="P33" s="8"/>
      <c r="Q33" s="8"/>
      <c r="R33" s="8"/>
      <c r="S33" s="8"/>
      <c r="T33" s="8"/>
      <c r="U33" s="8"/>
      <c r="V33" s="8"/>
      <c r="W33" s="8"/>
    </row>
    <row r="34" spans="1:23" x14ac:dyDescent="0.3">
      <c r="P34" s="8"/>
      <c r="Q34" s="8"/>
      <c r="R34" s="8"/>
      <c r="S34" s="8"/>
      <c r="T34" s="8"/>
      <c r="U34" s="8"/>
      <c r="V34" s="8"/>
      <c r="W34" s="8"/>
    </row>
    <row r="35" spans="1:23" x14ac:dyDescent="0.3">
      <c r="P35" s="8"/>
      <c r="Q35" s="42"/>
      <c r="R35" s="42"/>
      <c r="S35" s="42"/>
      <c r="T35" s="42"/>
      <c r="U35" s="42"/>
      <c r="V35" s="42"/>
      <c r="W35" s="42"/>
    </row>
    <row r="36" spans="1:23" x14ac:dyDescent="0.3">
      <c r="P36" s="8"/>
      <c r="Q36" s="8"/>
      <c r="R36" s="8"/>
      <c r="S36" s="71"/>
      <c r="T36" s="71"/>
      <c r="U36" s="71"/>
      <c r="V36" s="71"/>
      <c r="W36" s="71"/>
    </row>
    <row r="37" spans="1:23" x14ac:dyDescent="0.3">
      <c r="P37" s="8"/>
      <c r="Q37" s="71"/>
      <c r="R37" s="8"/>
      <c r="S37" s="71"/>
      <c r="T37" s="71"/>
      <c r="U37" s="71"/>
      <c r="V37" s="71"/>
      <c r="W37" s="71"/>
    </row>
    <row r="38" spans="1:23" x14ac:dyDescent="0.3">
      <c r="P38" s="8"/>
      <c r="Q38" s="71"/>
      <c r="R38" s="8"/>
      <c r="S38" s="75"/>
      <c r="T38" s="75"/>
      <c r="U38" s="75"/>
      <c r="V38" s="75"/>
      <c r="W38" s="75"/>
    </row>
    <row r="39" spans="1:23" x14ac:dyDescent="0.3">
      <c r="P39" s="8"/>
      <c r="Q39" s="76"/>
      <c r="R39" s="8"/>
      <c r="S39" s="66"/>
      <c r="T39" s="66"/>
      <c r="U39" s="66"/>
      <c r="V39" s="66"/>
      <c r="W39" s="66"/>
    </row>
    <row r="40" spans="1:23" x14ac:dyDescent="0.3">
      <c r="P40" s="8"/>
      <c r="Q40" s="76"/>
      <c r="R40" s="8"/>
      <c r="S40" s="66"/>
      <c r="T40" s="66"/>
      <c r="U40" s="66"/>
      <c r="V40" s="66"/>
      <c r="W40" s="66"/>
    </row>
    <row r="41" spans="1:23" x14ac:dyDescent="0.3">
      <c r="A41" s="11"/>
      <c r="P41" s="8"/>
      <c r="Q41" s="76"/>
      <c r="R41" s="8"/>
      <c r="S41" s="66"/>
      <c r="T41" s="66"/>
      <c r="U41" s="66"/>
      <c r="V41" s="66"/>
      <c r="W41" s="66"/>
    </row>
    <row r="42" spans="1:23" x14ac:dyDescent="0.3">
      <c r="B42" s="11"/>
      <c r="C42" s="11"/>
      <c r="D42" s="11"/>
      <c r="E42" s="11"/>
      <c r="F42" s="11"/>
      <c r="G42" s="11"/>
      <c r="H42" s="11"/>
      <c r="I42" s="11"/>
      <c r="J42" s="11"/>
      <c r="K42" s="11"/>
      <c r="L42" s="11"/>
      <c r="M42" s="11"/>
      <c r="P42" s="8"/>
      <c r="Q42" s="8"/>
      <c r="R42" s="8"/>
      <c r="S42" s="8"/>
      <c r="T42" s="8"/>
      <c r="U42" s="8"/>
      <c r="V42" s="8"/>
      <c r="W42" s="8"/>
    </row>
    <row r="44" spans="1:23" x14ac:dyDescent="0.3">
      <c r="C44" s="44"/>
    </row>
    <row r="59" spans="1:17" x14ac:dyDescent="0.3">
      <c r="Q59" s="29"/>
    </row>
    <row r="64" spans="1:17" x14ac:dyDescent="0.3">
      <c r="A64" s="29"/>
    </row>
    <row r="65" spans="2:13" x14ac:dyDescent="0.3">
      <c r="B65" s="29"/>
      <c r="C65" s="43"/>
      <c r="K65" s="29"/>
      <c r="L65" s="29"/>
    </row>
    <row r="75" spans="2:13" x14ac:dyDescent="0.3">
      <c r="M75" s="29"/>
    </row>
    <row r="82" spans="1:13" x14ac:dyDescent="0.3">
      <c r="A82" s="11"/>
    </row>
    <row r="83" spans="1:13" x14ac:dyDescent="0.3">
      <c r="B83" s="11"/>
      <c r="C83" s="11"/>
      <c r="D83" s="11"/>
      <c r="E83" s="11"/>
      <c r="F83" s="11"/>
      <c r="G83" s="11"/>
      <c r="H83" s="11"/>
      <c r="I83" s="11"/>
      <c r="J83" s="11"/>
      <c r="K83" s="11"/>
      <c r="L83" s="11"/>
      <c r="M83" s="11"/>
    </row>
    <row r="106" spans="13:13" x14ac:dyDescent="0.3">
      <c r="M106" s="29"/>
    </row>
  </sheetData>
  <mergeCells count="7">
    <mergeCell ref="AJ7:AK7"/>
    <mergeCell ref="AL7:AM7"/>
    <mergeCell ref="T7:X7"/>
    <mergeCell ref="U5:W5"/>
    <mergeCell ref="AF6:AG6"/>
    <mergeCell ref="AH6:AI6"/>
    <mergeCell ref="AH7:AI7"/>
  </mergeCells>
  <conditionalFormatting sqref="Z10">
    <cfRule type="cellIs" dxfId="35" priority="39" operator="greaterThanOrEqual">
      <formula>$Q$10</formula>
    </cfRule>
  </conditionalFormatting>
  <conditionalFormatting sqref="Z11">
    <cfRule type="expression" dxfId="34" priority="37">
      <formula>$U$5="Index Testing"</formula>
    </cfRule>
    <cfRule type="cellIs" dxfId="33" priority="38" operator="greaterThanOrEqual">
      <formula>$Q$11</formula>
    </cfRule>
  </conditionalFormatting>
  <conditionalFormatting sqref="Z12">
    <cfRule type="expression" dxfId="32" priority="35">
      <formula>$U$5="Index Testing"</formula>
    </cfRule>
    <cfRule type="cellIs" dxfId="31" priority="36" operator="greaterThanOrEqual">
      <formula>$Q$12</formula>
    </cfRule>
  </conditionalFormatting>
  <conditionalFormatting sqref="Z13">
    <cfRule type="expression" dxfId="30" priority="32">
      <formula>$U$5="Limited Analysis"</formula>
    </cfRule>
    <cfRule type="expression" dxfId="29" priority="33">
      <formula>$U$5="Index Testing"</formula>
    </cfRule>
    <cfRule type="cellIs" dxfId="28" priority="34" operator="greaterThanOrEqual">
      <formula>$Q$13</formula>
    </cfRule>
  </conditionalFormatting>
  <conditionalFormatting sqref="Z14">
    <cfRule type="cellIs" dxfId="27" priority="31" operator="greaterThanOrEqual">
      <formula>$Q$14</formula>
    </cfRule>
  </conditionalFormatting>
  <conditionalFormatting sqref="Z15">
    <cfRule type="expression" dxfId="26" priority="28">
      <formula>$U$5="Limited Analysis"</formula>
    </cfRule>
    <cfRule type="expression" dxfId="25" priority="29">
      <formula>$U$5="Index Testing"</formula>
    </cfRule>
    <cfRule type="cellIs" dxfId="24" priority="30" operator="greaterThanOrEqual">
      <formula>$Q$15</formula>
    </cfRule>
  </conditionalFormatting>
  <conditionalFormatting sqref="Z16">
    <cfRule type="expression" dxfId="23" priority="26">
      <formula>$U$5="Index Testing"</formula>
    </cfRule>
    <cfRule type="cellIs" dxfId="22" priority="27" operator="greaterThanOrEqual">
      <formula>$Q$16</formula>
    </cfRule>
  </conditionalFormatting>
  <conditionalFormatting sqref="Z17">
    <cfRule type="expression" dxfId="21" priority="23">
      <formula>$U$5="Limited Analysis"</formula>
    </cfRule>
    <cfRule type="expression" dxfId="20" priority="24">
      <formula>$U$5="Index Testing"</formula>
    </cfRule>
    <cfRule type="cellIs" dxfId="19" priority="25" operator="greaterThanOrEqual">
      <formula>$Q$17</formula>
    </cfRule>
  </conditionalFormatting>
  <conditionalFormatting sqref="Z18">
    <cfRule type="cellIs" dxfId="18" priority="22" operator="greaterThanOrEqual">
      <formula>$Q$18</formula>
    </cfRule>
  </conditionalFormatting>
  <conditionalFormatting sqref="S11:X11">
    <cfRule type="expression" dxfId="17" priority="21">
      <formula>$U$5="Index Testing"</formula>
    </cfRule>
  </conditionalFormatting>
  <conditionalFormatting sqref="S12:X12 S16:X16">
    <cfRule type="expression" dxfId="16" priority="20">
      <formula>$U$5="Index Testing"</formula>
    </cfRule>
  </conditionalFormatting>
  <conditionalFormatting sqref="S13:X13 S17:X17">
    <cfRule type="expression" dxfId="15" priority="18">
      <formula>$U$5="Limited Analysis"</formula>
    </cfRule>
    <cfRule type="expression" dxfId="14" priority="19">
      <formula>$U$5="Index Testing"</formula>
    </cfRule>
  </conditionalFormatting>
  <conditionalFormatting sqref="S15:X15">
    <cfRule type="expression" dxfId="13" priority="16">
      <formula>$U$5="Limited Analysis"</formula>
    </cfRule>
    <cfRule type="expression" dxfId="12" priority="17">
      <formula>$U$5="Index Testing"</formula>
    </cfRule>
  </conditionalFormatting>
  <conditionalFormatting sqref="AA11">
    <cfRule type="expression" dxfId="11" priority="12">
      <formula>U5="Index Testing"</formula>
    </cfRule>
  </conditionalFormatting>
  <conditionalFormatting sqref="AA12:AA13">
    <cfRule type="expression" dxfId="10" priority="11">
      <formula>$U$5="Index Testing"</formula>
    </cfRule>
  </conditionalFormatting>
  <conditionalFormatting sqref="AA14">
    <cfRule type="expression" dxfId="9" priority="10">
      <formula>U5&lt;&gt;"Complete Characterization"</formula>
    </cfRule>
  </conditionalFormatting>
  <conditionalFormatting sqref="AA13">
    <cfRule type="expression" dxfId="8" priority="9">
      <formula>$U$5="Limited Analysis"</formula>
    </cfRule>
  </conditionalFormatting>
  <conditionalFormatting sqref="AA15">
    <cfRule type="expression" dxfId="7" priority="7">
      <formula>$U$5="Limited Analysis"</formula>
    </cfRule>
    <cfRule type="expression" dxfId="6" priority="8">
      <formula>$U$5="Index Testing"</formula>
    </cfRule>
  </conditionalFormatting>
  <conditionalFormatting sqref="AA16">
    <cfRule type="expression" dxfId="5" priority="5">
      <formula>$U$5="Limited Analysis"</formula>
    </cfRule>
    <cfRule type="expression" dxfId="4" priority="6">
      <formula>$U$5="Index Testing"</formula>
    </cfRule>
  </conditionalFormatting>
  <conditionalFormatting sqref="AA17">
    <cfRule type="expression" dxfId="3" priority="3">
      <formula>$U$5="Index Testing"</formula>
    </cfRule>
    <cfRule type="expression" dxfId="2" priority="4">
      <formula>$U$5="Limited Analysis"</formula>
    </cfRule>
  </conditionalFormatting>
  <conditionalFormatting sqref="AA18">
    <cfRule type="expression" dxfId="1" priority="2">
      <formula>$U$5&lt;&gt;"Complete Characterization"</formula>
    </cfRule>
  </conditionalFormatting>
  <conditionalFormatting sqref="AA10:AA18">
    <cfRule type="expression" dxfId="0" priority="1">
      <formula>$U$5="Complete Characterization"</formula>
    </cfRule>
  </conditionalFormatting>
  <dataValidations count="1">
    <dataValidation type="list" allowBlank="1" showInputMessage="1" showErrorMessage="1" sqref="U5:W5" xr:uid="{00000000-0002-0000-0500-000000000000}">
      <formula1>Composite_Scheme</formula1>
    </dataValidation>
  </dataValidations>
  <pageMargins left="0.7" right="0.7" top="0.75" bottom="0.75" header="0.3" footer="0.3"/>
  <pageSetup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52"/>
  <sheetViews>
    <sheetView topLeftCell="A112" zoomScale="80" zoomScaleNormal="80" workbookViewId="0">
      <selection activeCell="B151" sqref="B151"/>
    </sheetView>
  </sheetViews>
  <sheetFormatPr defaultColWidth="8.88671875" defaultRowHeight="14.4" x14ac:dyDescent="0.3"/>
  <cols>
    <col min="1" max="1" width="3.6640625" style="23" customWidth="1"/>
    <col min="2" max="2" width="30.6640625" style="23" customWidth="1"/>
    <col min="3" max="3" width="70.6640625" style="23" customWidth="1"/>
    <col min="4" max="5" width="3.6640625" style="23" customWidth="1"/>
    <col min="6" max="6" width="30.6640625" style="23" customWidth="1"/>
    <col min="7" max="7" width="70.6640625" style="23" customWidth="1"/>
    <col min="8" max="9" width="3.6640625" style="23" customWidth="1"/>
    <col min="10" max="10" width="30.6640625" style="23" customWidth="1"/>
    <col min="11" max="11" width="60.6640625" style="23" customWidth="1"/>
    <col min="12" max="13" width="3.6640625" style="23" customWidth="1"/>
    <col min="14" max="14" width="30.6640625" style="23" customWidth="1"/>
    <col min="15" max="15" width="60.6640625" style="23" customWidth="1"/>
    <col min="16" max="17" width="3.6640625" style="23" customWidth="1"/>
    <col min="18" max="18" width="30.6640625" style="23" customWidth="1"/>
    <col min="19" max="19" width="60.6640625" style="23" customWidth="1"/>
    <col min="20" max="20" width="3.6640625" style="23" customWidth="1"/>
    <col min="21" max="16384" width="8.88671875" style="23"/>
  </cols>
  <sheetData>
    <row r="1" spans="1:20" ht="18" x14ac:dyDescent="0.35">
      <c r="A1" s="737" t="s">
        <v>468</v>
      </c>
      <c r="B1" s="737"/>
      <c r="C1" s="737"/>
      <c r="D1" s="737"/>
      <c r="E1" s="737" t="s">
        <v>468</v>
      </c>
      <c r="F1" s="737"/>
      <c r="G1" s="737"/>
      <c r="H1" s="737"/>
      <c r="I1" s="126"/>
      <c r="J1" s="127"/>
      <c r="K1" s="127" t="s">
        <v>311</v>
      </c>
      <c r="L1" s="126"/>
      <c r="M1" s="127"/>
      <c r="N1" s="126"/>
      <c r="O1" s="127" t="s">
        <v>311</v>
      </c>
      <c r="P1" s="126"/>
      <c r="Q1" s="126"/>
      <c r="R1" s="126"/>
      <c r="S1" s="127" t="s">
        <v>311</v>
      </c>
      <c r="T1" s="126"/>
    </row>
    <row r="2" spans="1:20" ht="15.6" customHeight="1" x14ac:dyDescent="0.35">
      <c r="A2" s="738" t="s">
        <v>469</v>
      </c>
      <c r="B2" s="738"/>
      <c r="C2" s="738"/>
      <c r="D2" s="738"/>
      <c r="E2" s="738" t="s">
        <v>469</v>
      </c>
      <c r="F2" s="738"/>
      <c r="G2" s="738"/>
      <c r="H2" s="738"/>
      <c r="J2" s="104"/>
      <c r="M2" s="104"/>
      <c r="N2" s="104"/>
    </row>
    <row r="3" spans="1:20" s="29" customFormat="1" ht="18" x14ac:dyDescent="0.35">
      <c r="B3" s="506"/>
      <c r="J3" s="507"/>
      <c r="M3" s="507"/>
      <c r="N3" s="507"/>
    </row>
    <row r="4" spans="1:20" s="104" customFormat="1" ht="15.6" x14ac:dyDescent="0.3">
      <c r="B4" s="104" t="s">
        <v>470</v>
      </c>
      <c r="F4" s="104" t="s">
        <v>471</v>
      </c>
      <c r="I4" s="23"/>
      <c r="J4" s="104" t="s">
        <v>328</v>
      </c>
      <c r="K4" s="23"/>
      <c r="L4" s="23"/>
      <c r="N4" s="104" t="s">
        <v>329</v>
      </c>
      <c r="O4" s="23"/>
      <c r="P4" s="23"/>
      <c r="Q4" s="23"/>
      <c r="R4" s="128" t="s">
        <v>330</v>
      </c>
      <c r="S4" s="23"/>
      <c r="T4" s="23"/>
    </row>
    <row r="5" spans="1:20" x14ac:dyDescent="0.3">
      <c r="B5" s="454" t="s">
        <v>472</v>
      </c>
      <c r="C5" s="454"/>
      <c r="F5" s="508" t="s">
        <v>473</v>
      </c>
      <c r="G5" s="7"/>
      <c r="J5" s="735" t="s">
        <v>331</v>
      </c>
      <c r="K5" s="735"/>
      <c r="N5" s="736" t="s">
        <v>284</v>
      </c>
      <c r="O5" s="736"/>
      <c r="R5" s="736" t="s">
        <v>332</v>
      </c>
      <c r="S5" s="736"/>
    </row>
    <row r="6" spans="1:20" ht="15" thickBot="1" x14ac:dyDescent="0.35">
      <c r="B6" s="509" t="s">
        <v>255</v>
      </c>
      <c r="C6" s="510" t="s">
        <v>256</v>
      </c>
      <c r="F6" s="511" t="s">
        <v>255</v>
      </c>
      <c r="G6" s="510" t="s">
        <v>256</v>
      </c>
      <c r="J6" s="107" t="s">
        <v>255</v>
      </c>
      <c r="K6" s="108" t="s">
        <v>256</v>
      </c>
      <c r="N6" s="107" t="s">
        <v>255</v>
      </c>
      <c r="O6" s="108" t="s">
        <v>256</v>
      </c>
      <c r="R6" s="107" t="s">
        <v>255</v>
      </c>
      <c r="S6" s="108" t="s">
        <v>256</v>
      </c>
    </row>
    <row r="7" spans="1:20" ht="15" thickTop="1" x14ac:dyDescent="0.3">
      <c r="B7" s="162" t="s">
        <v>359</v>
      </c>
      <c r="C7" s="109"/>
      <c r="F7" s="160" t="s">
        <v>341</v>
      </c>
      <c r="G7" s="512" t="s">
        <v>342</v>
      </c>
      <c r="J7" s="162" t="s">
        <v>257</v>
      </c>
      <c r="K7" s="109"/>
      <c r="N7" s="172" t="s">
        <v>278</v>
      </c>
      <c r="O7" s="109"/>
      <c r="R7" s="166" t="s">
        <v>334</v>
      </c>
      <c r="S7" s="109"/>
    </row>
    <row r="8" spans="1:20" x14ac:dyDescent="0.3">
      <c r="B8" s="163" t="s">
        <v>474</v>
      </c>
      <c r="C8" s="110"/>
      <c r="F8" s="161" t="s">
        <v>475</v>
      </c>
      <c r="G8" s="513"/>
      <c r="J8" s="163" t="s">
        <v>258</v>
      </c>
      <c r="K8" s="110"/>
      <c r="N8" s="173" t="s">
        <v>285</v>
      </c>
      <c r="O8" s="110"/>
      <c r="R8" s="160" t="s">
        <v>337</v>
      </c>
      <c r="S8" s="110"/>
    </row>
    <row r="9" spans="1:20" x14ac:dyDescent="0.3">
      <c r="B9" s="164" t="s">
        <v>476</v>
      </c>
      <c r="C9" s="110"/>
      <c r="F9" s="129"/>
      <c r="G9" s="129"/>
      <c r="J9" s="164" t="s">
        <v>259</v>
      </c>
      <c r="K9" s="110"/>
      <c r="N9" s="173" t="s">
        <v>286</v>
      </c>
      <c r="O9" s="110"/>
      <c r="R9" s="160" t="s">
        <v>338</v>
      </c>
      <c r="S9" s="110"/>
    </row>
    <row r="10" spans="1:20" x14ac:dyDescent="0.3">
      <c r="B10" s="164" t="s">
        <v>362</v>
      </c>
      <c r="C10" s="110"/>
      <c r="F10" s="455" t="s">
        <v>477</v>
      </c>
      <c r="G10" s="514"/>
      <c r="J10" s="164" t="s">
        <v>260</v>
      </c>
      <c r="K10" s="110"/>
      <c r="N10" s="174" t="s">
        <v>268</v>
      </c>
      <c r="O10" s="115"/>
      <c r="R10" s="160" t="s">
        <v>339</v>
      </c>
      <c r="S10" s="110"/>
    </row>
    <row r="11" spans="1:20" ht="15" thickBot="1" x14ac:dyDescent="0.35">
      <c r="B11" s="163" t="s">
        <v>365</v>
      </c>
      <c r="C11" s="110"/>
      <c r="F11" s="509" t="s">
        <v>255</v>
      </c>
      <c r="G11" s="510" t="s">
        <v>256</v>
      </c>
      <c r="J11" s="163" t="s">
        <v>261</v>
      </c>
      <c r="K11" s="110"/>
      <c r="N11" s="7"/>
      <c r="O11" s="7"/>
      <c r="R11" s="160" t="s">
        <v>340</v>
      </c>
      <c r="S11" s="110"/>
    </row>
    <row r="12" spans="1:20" ht="15" thickTop="1" x14ac:dyDescent="0.3">
      <c r="B12" s="163" t="s">
        <v>478</v>
      </c>
      <c r="C12" s="110"/>
      <c r="F12" s="160" t="s">
        <v>346</v>
      </c>
      <c r="G12" s="512" t="s">
        <v>347</v>
      </c>
      <c r="J12" s="163" t="s">
        <v>262</v>
      </c>
      <c r="K12" s="110"/>
      <c r="N12" s="734" t="s">
        <v>312</v>
      </c>
      <c r="O12" s="734"/>
      <c r="R12" s="160" t="s">
        <v>343</v>
      </c>
      <c r="S12" s="110"/>
    </row>
    <row r="13" spans="1:20" x14ac:dyDescent="0.3">
      <c r="B13" s="163" t="s">
        <v>368</v>
      </c>
      <c r="C13" s="110"/>
      <c r="F13" s="160" t="s">
        <v>349</v>
      </c>
      <c r="G13" s="512" t="s">
        <v>350</v>
      </c>
      <c r="J13" s="164" t="s">
        <v>263</v>
      </c>
      <c r="K13" s="111"/>
      <c r="N13" s="107" t="s">
        <v>255</v>
      </c>
      <c r="O13" s="108" t="s">
        <v>256</v>
      </c>
      <c r="R13" s="160" t="s">
        <v>344</v>
      </c>
      <c r="S13" s="110"/>
    </row>
    <row r="14" spans="1:20" x14ac:dyDescent="0.3">
      <c r="B14" s="164" t="s">
        <v>479</v>
      </c>
      <c r="C14" s="111"/>
      <c r="F14" s="161" t="s">
        <v>475</v>
      </c>
      <c r="G14" s="513"/>
      <c r="J14" s="164" t="s">
        <v>264</v>
      </c>
      <c r="K14" s="112"/>
      <c r="N14" s="170" t="s">
        <v>278</v>
      </c>
      <c r="O14" s="118"/>
      <c r="R14" s="160" t="s">
        <v>345</v>
      </c>
      <c r="S14" s="110"/>
    </row>
    <row r="15" spans="1:20" x14ac:dyDescent="0.3">
      <c r="B15" s="164" t="s">
        <v>480</v>
      </c>
      <c r="C15" s="111"/>
      <c r="F15" s="7"/>
      <c r="G15" s="7"/>
      <c r="J15" s="164" t="s">
        <v>265</v>
      </c>
      <c r="K15" s="112"/>
      <c r="N15" s="163" t="s">
        <v>251</v>
      </c>
      <c r="O15" s="110"/>
      <c r="R15" s="161" t="s">
        <v>268</v>
      </c>
      <c r="S15" s="115"/>
    </row>
    <row r="16" spans="1:20" x14ac:dyDescent="0.3">
      <c r="B16" s="164" t="s">
        <v>481</v>
      </c>
      <c r="C16" s="111"/>
      <c r="J16" s="164" t="s">
        <v>266</v>
      </c>
      <c r="K16" s="113"/>
      <c r="N16" s="168" t="s">
        <v>295</v>
      </c>
      <c r="O16" s="110"/>
    </row>
    <row r="17" spans="2:19" ht="15.6" x14ac:dyDescent="0.3">
      <c r="B17" s="164" t="s">
        <v>482</v>
      </c>
      <c r="C17" s="111"/>
      <c r="F17" s="104" t="s">
        <v>483</v>
      </c>
      <c r="J17" s="164" t="s">
        <v>267</v>
      </c>
      <c r="K17" s="113"/>
      <c r="N17" s="168" t="s">
        <v>296</v>
      </c>
      <c r="O17" s="110"/>
      <c r="R17" s="733" t="s">
        <v>348</v>
      </c>
      <c r="S17" s="733"/>
    </row>
    <row r="18" spans="2:19" x14ac:dyDescent="0.3">
      <c r="B18" s="164" t="s">
        <v>484</v>
      </c>
      <c r="C18" s="112"/>
      <c r="F18" s="149" t="s">
        <v>485</v>
      </c>
      <c r="J18" s="165" t="s">
        <v>268</v>
      </c>
      <c r="K18" s="114"/>
      <c r="N18" s="163" t="s">
        <v>297</v>
      </c>
      <c r="O18" s="110"/>
      <c r="R18" s="107" t="s">
        <v>255</v>
      </c>
      <c r="S18" s="108" t="s">
        <v>256</v>
      </c>
    </row>
    <row r="19" spans="2:19" ht="15" thickBot="1" x14ac:dyDescent="0.35">
      <c r="B19" s="164" t="s">
        <v>486</v>
      </c>
      <c r="C19" s="112"/>
      <c r="F19" s="509" t="s">
        <v>255</v>
      </c>
      <c r="G19" s="510" t="s">
        <v>256</v>
      </c>
      <c r="J19" s="7"/>
      <c r="K19" s="7"/>
      <c r="N19" s="163" t="s">
        <v>298</v>
      </c>
      <c r="O19" s="110"/>
      <c r="R19" s="166" t="s">
        <v>351</v>
      </c>
      <c r="S19" s="130"/>
    </row>
    <row r="20" spans="2:19" ht="15" thickTop="1" x14ac:dyDescent="0.3">
      <c r="B20" s="164" t="s">
        <v>487</v>
      </c>
      <c r="C20" s="112" t="s">
        <v>488</v>
      </c>
      <c r="F20" s="160" t="s">
        <v>489</v>
      </c>
      <c r="G20" s="512" t="s">
        <v>333</v>
      </c>
      <c r="J20" s="733" t="s">
        <v>252</v>
      </c>
      <c r="K20" s="733"/>
      <c r="N20" s="163" t="s">
        <v>299</v>
      </c>
      <c r="O20" s="110"/>
      <c r="R20" s="160" t="s">
        <v>352</v>
      </c>
      <c r="S20" s="131"/>
    </row>
    <row r="21" spans="2:19" x14ac:dyDescent="0.3">
      <c r="B21" s="165" t="s">
        <v>268</v>
      </c>
      <c r="C21" s="136"/>
      <c r="F21" s="160" t="s">
        <v>335</v>
      </c>
      <c r="G21" s="512" t="s">
        <v>336</v>
      </c>
      <c r="J21" s="107" t="s">
        <v>255</v>
      </c>
      <c r="K21" s="108" t="s">
        <v>256</v>
      </c>
      <c r="N21" s="163" t="s">
        <v>300</v>
      </c>
      <c r="O21" s="110"/>
      <c r="R21" s="160" t="s">
        <v>353</v>
      </c>
      <c r="S21" s="131"/>
    </row>
    <row r="22" spans="2:19" x14ac:dyDescent="0.3">
      <c r="B22" s="137"/>
      <c r="C22" s="138"/>
      <c r="F22" s="161" t="s">
        <v>475</v>
      </c>
      <c r="G22" s="513"/>
      <c r="J22" s="167" t="s">
        <v>301</v>
      </c>
      <c r="K22" s="109"/>
      <c r="N22" s="171" t="s">
        <v>268</v>
      </c>
      <c r="O22" s="115"/>
      <c r="R22" s="160" t="s">
        <v>354</v>
      </c>
      <c r="S22" s="131"/>
    </row>
    <row r="23" spans="2:19" x14ac:dyDescent="0.3">
      <c r="B23" s="515" t="s">
        <v>490</v>
      </c>
      <c r="C23" s="159"/>
      <c r="F23" s="7"/>
      <c r="G23" s="7"/>
      <c r="J23" s="168" t="s">
        <v>302</v>
      </c>
      <c r="K23" s="110"/>
      <c r="N23" s="93"/>
      <c r="O23" s="92"/>
      <c r="R23" s="160" t="s">
        <v>355</v>
      </c>
      <c r="S23" s="131"/>
    </row>
    <row r="24" spans="2:19" ht="15" thickBot="1" x14ac:dyDescent="0.35">
      <c r="B24" s="509" t="s">
        <v>255</v>
      </c>
      <c r="C24" s="516" t="s">
        <v>256</v>
      </c>
      <c r="F24" s="139" t="s">
        <v>491</v>
      </c>
      <c r="G24" s="7"/>
      <c r="J24" s="169" t="s">
        <v>492</v>
      </c>
      <c r="K24" s="119" t="s">
        <v>303</v>
      </c>
      <c r="N24" s="734" t="s">
        <v>356</v>
      </c>
      <c r="O24" s="734"/>
      <c r="R24" s="161" t="s">
        <v>268</v>
      </c>
      <c r="S24" s="132"/>
    </row>
    <row r="25" spans="2:19" ht="15.6" thickTop="1" thickBot="1" x14ac:dyDescent="0.35">
      <c r="B25" s="517" t="s">
        <v>359</v>
      </c>
      <c r="C25" s="518"/>
      <c r="F25" s="509" t="s">
        <v>255</v>
      </c>
      <c r="G25" s="510" t="s">
        <v>256</v>
      </c>
      <c r="N25" s="107" t="s">
        <v>255</v>
      </c>
      <c r="O25" s="108" t="s">
        <v>256</v>
      </c>
      <c r="R25" s="129"/>
      <c r="S25" s="133"/>
    </row>
    <row r="26" spans="2:19" ht="15" thickTop="1" x14ac:dyDescent="0.3">
      <c r="B26" s="519" t="s">
        <v>432</v>
      </c>
      <c r="C26" s="520" t="s">
        <v>493</v>
      </c>
      <c r="F26" s="160" t="s">
        <v>227</v>
      </c>
      <c r="G26" s="512" t="s">
        <v>494</v>
      </c>
      <c r="J26" s="735" t="s">
        <v>253</v>
      </c>
      <c r="K26" s="735"/>
      <c r="N26" s="170" t="s">
        <v>278</v>
      </c>
      <c r="O26" s="110"/>
      <c r="R26" s="734" t="s">
        <v>357</v>
      </c>
      <c r="S26" s="734"/>
    </row>
    <row r="27" spans="2:19" x14ac:dyDescent="0.3">
      <c r="B27" s="519" t="s">
        <v>268</v>
      </c>
      <c r="C27" s="520" t="s">
        <v>495</v>
      </c>
      <c r="F27" s="160" t="s">
        <v>208</v>
      </c>
      <c r="G27" s="512" t="s">
        <v>496</v>
      </c>
      <c r="J27" s="107" t="s">
        <v>255</v>
      </c>
      <c r="K27" s="108" t="s">
        <v>256</v>
      </c>
      <c r="N27" s="163" t="s">
        <v>274</v>
      </c>
      <c r="O27" s="116"/>
      <c r="R27" s="107" t="s">
        <v>255</v>
      </c>
      <c r="S27" s="108" t="s">
        <v>256</v>
      </c>
    </row>
    <row r="28" spans="2:19" x14ac:dyDescent="0.3">
      <c r="B28" s="521"/>
      <c r="C28" s="520"/>
      <c r="F28" s="161" t="s">
        <v>209</v>
      </c>
      <c r="G28" s="513" t="s">
        <v>497</v>
      </c>
      <c r="J28" s="170" t="s">
        <v>293</v>
      </c>
      <c r="K28" s="109"/>
      <c r="N28" s="163" t="s">
        <v>275</v>
      </c>
      <c r="O28" s="110"/>
      <c r="R28" s="166" t="s">
        <v>358</v>
      </c>
      <c r="S28" s="109"/>
    </row>
    <row r="29" spans="2:19" x14ac:dyDescent="0.3">
      <c r="B29" s="522" t="s">
        <v>498</v>
      </c>
      <c r="C29" s="520"/>
      <c r="F29" s="7"/>
      <c r="G29" s="7"/>
      <c r="J29" s="163" t="s">
        <v>294</v>
      </c>
      <c r="K29" s="110"/>
      <c r="N29" s="163" t="s">
        <v>276</v>
      </c>
      <c r="O29" s="110"/>
      <c r="R29" s="160" t="s">
        <v>360</v>
      </c>
      <c r="S29" s="110"/>
    </row>
    <row r="30" spans="2:19" x14ac:dyDescent="0.3">
      <c r="B30" s="519" t="s">
        <v>499</v>
      </c>
      <c r="C30" s="520"/>
      <c r="J30" s="171" t="s">
        <v>268</v>
      </c>
      <c r="K30" s="115"/>
      <c r="N30" s="163" t="s">
        <v>277</v>
      </c>
      <c r="O30" s="116"/>
      <c r="R30" s="160" t="s">
        <v>361</v>
      </c>
      <c r="S30" s="110"/>
    </row>
    <row r="31" spans="2:19" ht="15.6" x14ac:dyDescent="0.3">
      <c r="B31" s="519" t="s">
        <v>500</v>
      </c>
      <c r="C31" s="520"/>
      <c r="F31" s="104" t="s">
        <v>501</v>
      </c>
      <c r="N31" s="171" t="s">
        <v>268</v>
      </c>
      <c r="O31" s="117"/>
      <c r="R31" s="160" t="s">
        <v>363</v>
      </c>
      <c r="S31" s="110"/>
    </row>
    <row r="32" spans="2:19" x14ac:dyDescent="0.3">
      <c r="B32" s="519" t="s">
        <v>502</v>
      </c>
      <c r="C32" s="520" t="s">
        <v>503</v>
      </c>
      <c r="F32" s="149" t="s">
        <v>504</v>
      </c>
      <c r="J32" s="733" t="s">
        <v>254</v>
      </c>
      <c r="K32" s="733"/>
      <c r="N32" s="7"/>
      <c r="O32" s="7"/>
      <c r="R32" s="160" t="s">
        <v>364</v>
      </c>
      <c r="S32" s="110"/>
    </row>
    <row r="33" spans="2:19" x14ac:dyDescent="0.3">
      <c r="B33" s="519" t="s">
        <v>505</v>
      </c>
      <c r="C33" s="520" t="s">
        <v>506</v>
      </c>
      <c r="F33" s="105" t="s">
        <v>255</v>
      </c>
      <c r="G33" s="106" t="s">
        <v>256</v>
      </c>
      <c r="J33" s="107" t="s">
        <v>255</v>
      </c>
      <c r="K33" s="108" t="s">
        <v>256</v>
      </c>
      <c r="N33" s="734" t="s">
        <v>366</v>
      </c>
      <c r="O33" s="734"/>
      <c r="R33" s="160" t="s">
        <v>367</v>
      </c>
      <c r="S33" s="110"/>
    </row>
    <row r="34" spans="2:19" x14ac:dyDescent="0.3">
      <c r="B34" s="519" t="s">
        <v>507</v>
      </c>
      <c r="C34" s="520" t="s">
        <v>508</v>
      </c>
      <c r="F34" s="160" t="s">
        <v>509</v>
      </c>
      <c r="G34" s="95"/>
      <c r="J34" s="167" t="s">
        <v>304</v>
      </c>
      <c r="K34" s="134" t="s">
        <v>369</v>
      </c>
      <c r="N34" s="107" t="s">
        <v>255</v>
      </c>
      <c r="O34" s="108" t="s">
        <v>256</v>
      </c>
      <c r="R34" s="160" t="s">
        <v>370</v>
      </c>
      <c r="S34" s="110"/>
    </row>
    <row r="35" spans="2:19" x14ac:dyDescent="0.3">
      <c r="B35" s="519" t="s">
        <v>268</v>
      </c>
      <c r="C35" s="520" t="s">
        <v>510</v>
      </c>
      <c r="F35" s="161" t="s">
        <v>511</v>
      </c>
      <c r="G35" s="96"/>
      <c r="J35" s="168" t="s">
        <v>305</v>
      </c>
      <c r="K35" s="135" t="s">
        <v>371</v>
      </c>
      <c r="N35" s="163" t="s">
        <v>278</v>
      </c>
      <c r="O35" s="110"/>
      <c r="R35" s="160" t="s">
        <v>372</v>
      </c>
      <c r="S35" s="110"/>
    </row>
    <row r="36" spans="2:19" x14ac:dyDescent="0.3">
      <c r="B36" s="521"/>
      <c r="C36" s="520"/>
      <c r="J36" s="168" t="s">
        <v>373</v>
      </c>
      <c r="K36" s="135" t="s">
        <v>374</v>
      </c>
      <c r="N36" s="163" t="s">
        <v>279</v>
      </c>
      <c r="O36" s="110"/>
      <c r="R36" s="160" t="s">
        <v>375</v>
      </c>
      <c r="S36" s="110"/>
    </row>
    <row r="37" spans="2:19" x14ac:dyDescent="0.3">
      <c r="B37" s="522" t="s">
        <v>512</v>
      </c>
      <c r="C37" s="520"/>
      <c r="F37" s="149" t="s">
        <v>513</v>
      </c>
      <c r="J37" s="169" t="s">
        <v>306</v>
      </c>
      <c r="K37" s="96"/>
      <c r="N37" s="163" t="s">
        <v>280</v>
      </c>
      <c r="O37" s="110"/>
      <c r="R37" s="160" t="s">
        <v>376</v>
      </c>
      <c r="S37" s="110"/>
    </row>
    <row r="38" spans="2:19" x14ac:dyDescent="0.3">
      <c r="B38" s="523" t="s">
        <v>514</v>
      </c>
      <c r="C38" s="520"/>
      <c r="F38" s="105" t="s">
        <v>255</v>
      </c>
      <c r="G38" s="106" t="s">
        <v>256</v>
      </c>
      <c r="N38" s="163" t="s">
        <v>281</v>
      </c>
      <c r="O38" s="110"/>
      <c r="R38" s="160" t="s">
        <v>377</v>
      </c>
      <c r="S38" s="110"/>
    </row>
    <row r="39" spans="2:19" x14ac:dyDescent="0.3">
      <c r="B39" s="523" t="s">
        <v>433</v>
      </c>
      <c r="C39" s="520" t="s">
        <v>515</v>
      </c>
      <c r="F39" s="160" t="s">
        <v>516</v>
      </c>
      <c r="G39" s="95"/>
      <c r="N39" s="163" t="s">
        <v>282</v>
      </c>
      <c r="O39" s="110"/>
      <c r="R39" s="160" t="s">
        <v>378</v>
      </c>
      <c r="S39" s="110"/>
    </row>
    <row r="40" spans="2:19" x14ac:dyDescent="0.3">
      <c r="B40" s="523" t="s">
        <v>517</v>
      </c>
      <c r="C40" s="520" t="s">
        <v>518</v>
      </c>
      <c r="F40" s="161" t="s">
        <v>519</v>
      </c>
      <c r="G40" s="96"/>
      <c r="N40" s="163" t="s">
        <v>283</v>
      </c>
      <c r="O40" s="110"/>
      <c r="R40" s="160" t="s">
        <v>379</v>
      </c>
      <c r="S40" s="110"/>
    </row>
    <row r="41" spans="2:19" x14ac:dyDescent="0.3">
      <c r="B41" s="523" t="s">
        <v>520</v>
      </c>
      <c r="C41" s="520" t="s">
        <v>435</v>
      </c>
      <c r="N41" s="163" t="s">
        <v>268</v>
      </c>
      <c r="O41" s="115"/>
      <c r="R41" s="160" t="s">
        <v>380</v>
      </c>
      <c r="S41" s="110"/>
    </row>
    <row r="42" spans="2:19" x14ac:dyDescent="0.3">
      <c r="B42" s="523" t="s">
        <v>521</v>
      </c>
      <c r="C42" s="520" t="s">
        <v>436</v>
      </c>
      <c r="F42" s="149" t="s">
        <v>522</v>
      </c>
      <c r="N42" s="141"/>
      <c r="O42" s="142"/>
      <c r="R42" s="160" t="s">
        <v>382</v>
      </c>
      <c r="S42" s="110"/>
    </row>
    <row r="43" spans="2:19" x14ac:dyDescent="0.3">
      <c r="B43" s="523" t="s">
        <v>434</v>
      </c>
      <c r="C43" s="520" t="s">
        <v>523</v>
      </c>
      <c r="F43" s="105" t="s">
        <v>255</v>
      </c>
      <c r="G43" s="106" t="s">
        <v>256</v>
      </c>
      <c r="N43" s="735" t="s">
        <v>383</v>
      </c>
      <c r="O43" s="735"/>
      <c r="R43" s="160" t="s">
        <v>384</v>
      </c>
      <c r="S43" s="110"/>
    </row>
    <row r="44" spans="2:19" x14ac:dyDescent="0.3">
      <c r="B44" s="523" t="s">
        <v>524</v>
      </c>
      <c r="C44" s="520" t="s">
        <v>525</v>
      </c>
      <c r="F44" s="166" t="s">
        <v>526</v>
      </c>
      <c r="G44" s="140"/>
      <c r="N44" s="107" t="s">
        <v>255</v>
      </c>
      <c r="O44" s="108" t="s">
        <v>256</v>
      </c>
      <c r="R44" s="160" t="s">
        <v>385</v>
      </c>
      <c r="S44" s="110"/>
    </row>
    <row r="45" spans="2:19" x14ac:dyDescent="0.3">
      <c r="B45" s="523" t="s">
        <v>527</v>
      </c>
      <c r="C45" s="520" t="s">
        <v>528</v>
      </c>
      <c r="F45" s="160" t="s">
        <v>529</v>
      </c>
      <c r="G45" s="95"/>
      <c r="N45" s="163" t="s">
        <v>278</v>
      </c>
      <c r="O45" s="109"/>
      <c r="R45" s="160" t="s">
        <v>386</v>
      </c>
      <c r="S45" s="110"/>
    </row>
    <row r="46" spans="2:19" x14ac:dyDescent="0.3">
      <c r="B46" s="523" t="s">
        <v>530</v>
      </c>
      <c r="C46" s="520" t="s">
        <v>531</v>
      </c>
      <c r="F46" s="160" t="s">
        <v>532</v>
      </c>
      <c r="G46" s="95"/>
      <c r="N46" s="163" t="s">
        <v>287</v>
      </c>
      <c r="O46" s="110"/>
      <c r="R46" s="160" t="s">
        <v>388</v>
      </c>
      <c r="S46" s="110"/>
    </row>
    <row r="47" spans="2:19" x14ac:dyDescent="0.3">
      <c r="B47" s="523" t="s">
        <v>437</v>
      </c>
      <c r="C47" s="520" t="s">
        <v>533</v>
      </c>
      <c r="F47" s="161" t="s">
        <v>534</v>
      </c>
      <c r="G47" s="96"/>
      <c r="N47" s="163" t="s">
        <v>288</v>
      </c>
      <c r="O47" s="110"/>
      <c r="R47" s="160" t="s">
        <v>389</v>
      </c>
      <c r="S47" s="110"/>
    </row>
    <row r="48" spans="2:19" x14ac:dyDescent="0.3">
      <c r="B48" s="523" t="s">
        <v>535</v>
      </c>
      <c r="C48" s="520"/>
      <c r="N48" s="163" t="s">
        <v>289</v>
      </c>
      <c r="O48" s="110"/>
      <c r="R48" s="160" t="s">
        <v>390</v>
      </c>
      <c r="S48" s="110"/>
    </row>
    <row r="49" spans="1:19" x14ac:dyDescent="0.3">
      <c r="B49" s="523" t="s">
        <v>268</v>
      </c>
      <c r="C49" s="520"/>
      <c r="N49" s="163" t="s">
        <v>290</v>
      </c>
      <c r="O49" s="110"/>
      <c r="R49" s="160" t="s">
        <v>392</v>
      </c>
      <c r="S49" s="110"/>
    </row>
    <row r="50" spans="1:19" ht="15.6" x14ac:dyDescent="0.3">
      <c r="A50" s="29"/>
      <c r="B50" s="521"/>
      <c r="C50" s="520"/>
      <c r="F50" s="143" t="s">
        <v>536</v>
      </c>
      <c r="N50" s="163" t="s">
        <v>291</v>
      </c>
      <c r="O50" s="110"/>
      <c r="R50" s="160" t="s">
        <v>393</v>
      </c>
      <c r="S50" s="110"/>
    </row>
    <row r="51" spans="1:19" x14ac:dyDescent="0.3">
      <c r="B51" s="522" t="s">
        <v>362</v>
      </c>
      <c r="C51" s="520"/>
      <c r="F51" s="139" t="s">
        <v>537</v>
      </c>
      <c r="G51" s="524"/>
      <c r="J51" s="7"/>
      <c r="K51" s="7"/>
      <c r="N51" s="163" t="s">
        <v>292</v>
      </c>
      <c r="O51" s="110"/>
      <c r="R51" s="160" t="s">
        <v>394</v>
      </c>
      <c r="S51" s="110"/>
    </row>
    <row r="52" spans="1:19" ht="15" thickBot="1" x14ac:dyDescent="0.35">
      <c r="B52" s="519" t="s">
        <v>538</v>
      </c>
      <c r="C52" s="520" t="s">
        <v>539</v>
      </c>
      <c r="F52" s="509" t="s">
        <v>255</v>
      </c>
      <c r="G52" s="510" t="s">
        <v>256</v>
      </c>
      <c r="N52" s="171" t="s">
        <v>268</v>
      </c>
      <c r="O52" s="115"/>
      <c r="R52" s="160" t="s">
        <v>395</v>
      </c>
      <c r="S52" s="110"/>
    </row>
    <row r="53" spans="1:19" ht="15" thickTop="1" x14ac:dyDescent="0.3">
      <c r="B53" s="519" t="s">
        <v>540</v>
      </c>
      <c r="C53" s="520" t="s">
        <v>541</v>
      </c>
      <c r="F53" s="525" t="s">
        <v>475</v>
      </c>
      <c r="G53" s="526"/>
      <c r="N53" s="7"/>
      <c r="O53" s="7"/>
      <c r="R53" s="160" t="s">
        <v>396</v>
      </c>
      <c r="S53" s="110"/>
    </row>
    <row r="54" spans="1:19" x14ac:dyDescent="0.3">
      <c r="B54" s="519" t="s">
        <v>438</v>
      </c>
      <c r="C54" s="520" t="s">
        <v>542</v>
      </c>
      <c r="F54" s="160" t="s">
        <v>543</v>
      </c>
      <c r="G54" s="512" t="s">
        <v>544</v>
      </c>
      <c r="N54" s="736" t="s">
        <v>269</v>
      </c>
      <c r="O54" s="736"/>
      <c r="R54" s="160" t="s">
        <v>397</v>
      </c>
      <c r="S54" s="110"/>
    </row>
    <row r="55" spans="1:19" x14ac:dyDescent="0.3">
      <c r="B55" s="519" t="s">
        <v>545</v>
      </c>
      <c r="C55" s="520" t="s">
        <v>546</v>
      </c>
      <c r="F55" s="160" t="s">
        <v>547</v>
      </c>
      <c r="G55" s="512" t="s">
        <v>548</v>
      </c>
      <c r="N55" s="107" t="s">
        <v>255</v>
      </c>
      <c r="O55" s="108" t="s">
        <v>256</v>
      </c>
      <c r="R55" s="160" t="s">
        <v>398</v>
      </c>
      <c r="S55" s="110"/>
    </row>
    <row r="56" spans="1:19" x14ac:dyDescent="0.3">
      <c r="B56" s="519" t="s">
        <v>549</v>
      </c>
      <c r="C56" s="520"/>
      <c r="F56" s="160" t="s">
        <v>550</v>
      </c>
      <c r="G56" s="512" t="s">
        <v>551</v>
      </c>
      <c r="J56" s="7"/>
      <c r="K56" s="7"/>
      <c r="N56" s="172" t="s">
        <v>270</v>
      </c>
      <c r="O56" s="109"/>
      <c r="R56" s="160" t="s">
        <v>399</v>
      </c>
      <c r="S56" s="110"/>
    </row>
    <row r="57" spans="1:19" x14ac:dyDescent="0.3">
      <c r="B57" s="519" t="s">
        <v>552</v>
      </c>
      <c r="C57" s="520" t="s">
        <v>553</v>
      </c>
      <c r="F57" s="160" t="s">
        <v>554</v>
      </c>
      <c r="G57" s="527" t="s">
        <v>555</v>
      </c>
      <c r="N57" s="173" t="s">
        <v>271</v>
      </c>
      <c r="O57" s="110"/>
      <c r="R57" s="160" t="s">
        <v>400</v>
      </c>
      <c r="S57" s="110"/>
    </row>
    <row r="58" spans="1:19" x14ac:dyDescent="0.3">
      <c r="B58" s="519" t="s">
        <v>556</v>
      </c>
      <c r="C58" s="520"/>
      <c r="F58" s="160" t="s">
        <v>557</v>
      </c>
      <c r="G58" s="527" t="s">
        <v>558</v>
      </c>
      <c r="N58" s="173" t="s">
        <v>272</v>
      </c>
      <c r="O58" s="110"/>
      <c r="R58" s="160" t="s">
        <v>402</v>
      </c>
      <c r="S58" s="110"/>
    </row>
    <row r="59" spans="1:19" x14ac:dyDescent="0.3">
      <c r="B59" s="519" t="s">
        <v>559</v>
      </c>
      <c r="C59" s="520" t="s">
        <v>560</v>
      </c>
      <c r="F59" s="160" t="s">
        <v>561</v>
      </c>
      <c r="G59" s="512" t="s">
        <v>562</v>
      </c>
      <c r="N59" s="173" t="s">
        <v>273</v>
      </c>
      <c r="O59" s="110"/>
      <c r="R59" s="161" t="s">
        <v>268</v>
      </c>
      <c r="S59" s="115"/>
    </row>
    <row r="60" spans="1:19" x14ac:dyDescent="0.3">
      <c r="B60" s="519" t="s">
        <v>439</v>
      </c>
      <c r="C60" s="520" t="s">
        <v>563</v>
      </c>
      <c r="F60" s="160" t="s">
        <v>564</v>
      </c>
      <c r="G60" s="512" t="s">
        <v>565</v>
      </c>
      <c r="N60" s="174" t="s">
        <v>268</v>
      </c>
      <c r="O60" s="115"/>
      <c r="R60" s="93"/>
      <c r="S60" s="92"/>
    </row>
    <row r="61" spans="1:19" x14ac:dyDescent="0.3">
      <c r="B61" s="519" t="s">
        <v>566</v>
      </c>
      <c r="C61" s="520" t="s">
        <v>567</v>
      </c>
      <c r="F61" s="160" t="s">
        <v>568</v>
      </c>
      <c r="G61" s="512" t="s">
        <v>569</v>
      </c>
    </row>
    <row r="62" spans="1:19" x14ac:dyDescent="0.3">
      <c r="B62" s="519" t="s">
        <v>268</v>
      </c>
      <c r="C62" s="520" t="s">
        <v>570</v>
      </c>
      <c r="F62" s="160" t="s">
        <v>571</v>
      </c>
      <c r="G62" s="512" t="s">
        <v>572</v>
      </c>
    </row>
    <row r="63" spans="1:19" x14ac:dyDescent="0.3">
      <c r="A63" s="29"/>
      <c r="B63" s="521"/>
      <c r="C63" s="520"/>
      <c r="F63" s="160" t="s">
        <v>573</v>
      </c>
      <c r="G63" s="512" t="s">
        <v>574</v>
      </c>
    </row>
    <row r="64" spans="1:19" x14ac:dyDescent="0.3">
      <c r="B64" s="522" t="s">
        <v>365</v>
      </c>
      <c r="C64" s="520"/>
      <c r="F64" s="160" t="s">
        <v>575</v>
      </c>
      <c r="G64" s="512" t="s">
        <v>576</v>
      </c>
    </row>
    <row r="65" spans="1:7" x14ac:dyDescent="0.3">
      <c r="B65" s="519" t="s">
        <v>577</v>
      </c>
      <c r="C65" s="520" t="s">
        <v>578</v>
      </c>
      <c r="F65" s="160" t="s">
        <v>579</v>
      </c>
      <c r="G65" s="512" t="s">
        <v>580</v>
      </c>
    </row>
    <row r="66" spans="1:7" x14ac:dyDescent="0.3">
      <c r="B66" s="519" t="s">
        <v>581</v>
      </c>
      <c r="C66" s="520" t="s">
        <v>582</v>
      </c>
      <c r="F66" s="160" t="s">
        <v>583</v>
      </c>
      <c r="G66" s="512" t="s">
        <v>584</v>
      </c>
    </row>
    <row r="67" spans="1:7" x14ac:dyDescent="0.3">
      <c r="B67" s="519" t="s">
        <v>585</v>
      </c>
      <c r="C67" s="520" t="s">
        <v>586</v>
      </c>
      <c r="F67" s="161" t="s">
        <v>268</v>
      </c>
      <c r="G67" s="513" t="s">
        <v>587</v>
      </c>
    </row>
    <row r="68" spans="1:7" x14ac:dyDescent="0.3">
      <c r="B68" s="519" t="s">
        <v>588</v>
      </c>
      <c r="C68" s="520" t="s">
        <v>589</v>
      </c>
    </row>
    <row r="69" spans="1:7" x14ac:dyDescent="0.3">
      <c r="B69" s="519" t="s">
        <v>268</v>
      </c>
      <c r="C69" s="520" t="s">
        <v>590</v>
      </c>
      <c r="F69" s="455" t="s">
        <v>591</v>
      </c>
      <c r="G69" s="514"/>
    </row>
    <row r="70" spans="1:7" ht="15" thickBot="1" x14ac:dyDescent="0.35">
      <c r="A70" s="29"/>
      <c r="B70" s="521"/>
      <c r="C70" s="520"/>
      <c r="F70" s="509" t="s">
        <v>255</v>
      </c>
      <c r="G70" s="510" t="s">
        <v>256</v>
      </c>
    </row>
    <row r="71" spans="1:7" ht="15" thickTop="1" x14ac:dyDescent="0.3">
      <c r="B71" s="522" t="s">
        <v>592</v>
      </c>
      <c r="C71" s="520"/>
      <c r="F71" s="160" t="s">
        <v>475</v>
      </c>
      <c r="G71" s="512"/>
    </row>
    <row r="72" spans="1:7" x14ac:dyDescent="0.3">
      <c r="B72" s="519" t="s">
        <v>593</v>
      </c>
      <c r="C72" s="520"/>
      <c r="F72" s="160" t="s">
        <v>489</v>
      </c>
      <c r="G72" s="512" t="s">
        <v>333</v>
      </c>
    </row>
    <row r="73" spans="1:7" x14ac:dyDescent="0.3">
      <c r="B73" s="519" t="s">
        <v>594</v>
      </c>
      <c r="C73" s="520"/>
      <c r="F73" s="160" t="s">
        <v>595</v>
      </c>
      <c r="G73" s="512" t="s">
        <v>336</v>
      </c>
    </row>
    <row r="74" spans="1:7" x14ac:dyDescent="0.3">
      <c r="B74" s="519" t="s">
        <v>596</v>
      </c>
      <c r="C74" s="520"/>
      <c r="F74" s="160" t="s">
        <v>597</v>
      </c>
      <c r="G74" s="512"/>
    </row>
    <row r="75" spans="1:7" x14ac:dyDescent="0.3">
      <c r="B75" s="519" t="s">
        <v>598</v>
      </c>
      <c r="C75" s="520"/>
      <c r="F75" s="160" t="s">
        <v>599</v>
      </c>
      <c r="G75" s="512"/>
    </row>
    <row r="76" spans="1:7" x14ac:dyDescent="0.3">
      <c r="B76" s="528" t="s">
        <v>600</v>
      </c>
      <c r="C76" s="529"/>
      <c r="F76" s="160" t="s">
        <v>601</v>
      </c>
      <c r="G76" s="512"/>
    </row>
    <row r="77" spans="1:7" x14ac:dyDescent="0.3">
      <c r="B77" s="519" t="s">
        <v>602</v>
      </c>
      <c r="C77" s="520" t="s">
        <v>603</v>
      </c>
      <c r="F77" s="160" t="s">
        <v>604</v>
      </c>
      <c r="G77" s="512"/>
    </row>
    <row r="78" spans="1:7" x14ac:dyDescent="0.3">
      <c r="B78" s="519" t="s">
        <v>605</v>
      </c>
      <c r="C78" s="520"/>
      <c r="F78" s="160" t="s">
        <v>606</v>
      </c>
      <c r="G78" s="512"/>
    </row>
    <row r="79" spans="1:7" x14ac:dyDescent="0.3">
      <c r="B79" s="519" t="s">
        <v>607</v>
      </c>
      <c r="C79" s="520"/>
      <c r="F79" s="160" t="s">
        <v>608</v>
      </c>
      <c r="G79" s="512"/>
    </row>
    <row r="80" spans="1:7" x14ac:dyDescent="0.3">
      <c r="B80" s="519" t="s">
        <v>609</v>
      </c>
      <c r="C80" s="520"/>
      <c r="F80" s="160" t="s">
        <v>610</v>
      </c>
      <c r="G80" s="512"/>
    </row>
    <row r="81" spans="1:8" x14ac:dyDescent="0.3">
      <c r="B81" s="519" t="s">
        <v>611</v>
      </c>
      <c r="C81" s="520"/>
      <c r="F81" s="160" t="s">
        <v>612</v>
      </c>
      <c r="G81" s="512"/>
    </row>
    <row r="82" spans="1:8" x14ac:dyDescent="0.3">
      <c r="B82" s="519" t="s">
        <v>613</v>
      </c>
      <c r="C82" s="520"/>
      <c r="F82" s="160" t="s">
        <v>614</v>
      </c>
      <c r="G82" s="512"/>
    </row>
    <row r="83" spans="1:8" x14ac:dyDescent="0.3">
      <c r="B83" s="519" t="s">
        <v>268</v>
      </c>
      <c r="C83" s="520" t="s">
        <v>615</v>
      </c>
      <c r="F83" s="160" t="s">
        <v>616</v>
      </c>
      <c r="G83" s="512"/>
    </row>
    <row r="84" spans="1:8" x14ac:dyDescent="0.3">
      <c r="A84" s="29"/>
      <c r="B84" s="521"/>
      <c r="C84" s="520"/>
      <c r="F84" s="160" t="s">
        <v>617</v>
      </c>
      <c r="G84" s="512"/>
    </row>
    <row r="85" spans="1:8" x14ac:dyDescent="0.3">
      <c r="B85" s="530" t="s">
        <v>368</v>
      </c>
      <c r="C85" s="512"/>
      <c r="F85" s="160" t="s">
        <v>618</v>
      </c>
      <c r="G85" s="512"/>
    </row>
    <row r="86" spans="1:8" x14ac:dyDescent="0.3">
      <c r="B86" s="519" t="s">
        <v>619</v>
      </c>
      <c r="C86" s="512" t="s">
        <v>620</v>
      </c>
      <c r="F86" s="160" t="s">
        <v>621</v>
      </c>
      <c r="G86" s="512"/>
    </row>
    <row r="87" spans="1:8" x14ac:dyDescent="0.3">
      <c r="B87" s="160" t="s">
        <v>622</v>
      </c>
      <c r="C87" s="512" t="s">
        <v>623</v>
      </c>
      <c r="F87" s="160" t="s">
        <v>624</v>
      </c>
      <c r="G87" s="512"/>
    </row>
    <row r="88" spans="1:8" x14ac:dyDescent="0.3">
      <c r="B88" s="160" t="s">
        <v>625</v>
      </c>
      <c r="C88" s="512" t="s">
        <v>626</v>
      </c>
      <c r="F88" s="160" t="s">
        <v>627</v>
      </c>
      <c r="G88" s="512"/>
    </row>
    <row r="89" spans="1:8" x14ac:dyDescent="0.3">
      <c r="B89" s="160" t="s">
        <v>628</v>
      </c>
      <c r="C89" s="512" t="s">
        <v>629</v>
      </c>
      <c r="F89" s="161" t="s">
        <v>630</v>
      </c>
      <c r="G89" s="513"/>
    </row>
    <row r="90" spans="1:8" x14ac:dyDescent="0.3">
      <c r="B90" s="160" t="s">
        <v>631</v>
      </c>
      <c r="C90" s="512" t="s">
        <v>632</v>
      </c>
      <c r="E90" s="29"/>
      <c r="F90" s="8"/>
      <c r="G90" s="29"/>
      <c r="H90" s="29"/>
    </row>
    <row r="91" spans="1:8" x14ac:dyDescent="0.3">
      <c r="B91" s="160" t="s">
        <v>633</v>
      </c>
      <c r="C91" s="512" t="s">
        <v>634</v>
      </c>
      <c r="E91" s="29"/>
      <c r="F91" s="8"/>
      <c r="G91" s="29"/>
      <c r="H91" s="29"/>
    </row>
    <row r="92" spans="1:8" ht="15.6" x14ac:dyDescent="0.3">
      <c r="B92" s="160" t="s">
        <v>609</v>
      </c>
      <c r="C92" s="512" t="s">
        <v>635</v>
      </c>
      <c r="E92" s="29"/>
      <c r="F92" s="143" t="s">
        <v>636</v>
      </c>
      <c r="G92" s="29"/>
      <c r="H92" s="29"/>
    </row>
    <row r="93" spans="1:8" x14ac:dyDescent="0.3">
      <c r="B93" s="160" t="s">
        <v>268</v>
      </c>
      <c r="C93" s="512" t="s">
        <v>637</v>
      </c>
      <c r="F93" s="139" t="s">
        <v>638</v>
      </c>
      <c r="G93" s="524"/>
    </row>
    <row r="94" spans="1:8" ht="15" thickBot="1" x14ac:dyDescent="0.35">
      <c r="B94" s="94"/>
      <c r="C94" s="512"/>
      <c r="F94" s="509" t="s">
        <v>255</v>
      </c>
      <c r="G94" s="510" t="s">
        <v>256</v>
      </c>
    </row>
    <row r="95" spans="1:8" ht="15" thickTop="1" x14ac:dyDescent="0.3">
      <c r="B95" s="530" t="s">
        <v>479</v>
      </c>
      <c r="C95" s="512"/>
      <c r="F95" s="166" t="s">
        <v>475</v>
      </c>
      <c r="G95" s="531"/>
    </row>
    <row r="96" spans="1:8" x14ac:dyDescent="0.3">
      <c r="B96" s="160" t="s">
        <v>639</v>
      </c>
      <c r="C96" s="512" t="s">
        <v>640</v>
      </c>
      <c r="F96" s="160" t="s">
        <v>641</v>
      </c>
      <c r="G96" s="512" t="s">
        <v>642</v>
      </c>
    </row>
    <row r="97" spans="2:7" x14ac:dyDescent="0.3">
      <c r="B97" s="160" t="s">
        <v>643</v>
      </c>
      <c r="C97" s="512"/>
      <c r="F97" s="160" t="s">
        <v>644</v>
      </c>
      <c r="G97" s="512" t="s">
        <v>645</v>
      </c>
    </row>
    <row r="98" spans="2:7" x14ac:dyDescent="0.3">
      <c r="B98" s="160" t="s">
        <v>268</v>
      </c>
      <c r="C98" s="512" t="s">
        <v>646</v>
      </c>
      <c r="F98" s="160" t="s">
        <v>647</v>
      </c>
      <c r="G98" s="512" t="s">
        <v>648</v>
      </c>
    </row>
    <row r="99" spans="2:7" x14ac:dyDescent="0.3">
      <c r="B99" s="94"/>
      <c r="C99" s="512"/>
      <c r="F99" s="160" t="s">
        <v>649</v>
      </c>
      <c r="G99" s="512" t="s">
        <v>650</v>
      </c>
    </row>
    <row r="100" spans="2:7" x14ac:dyDescent="0.3">
      <c r="B100" s="530" t="s">
        <v>651</v>
      </c>
      <c r="C100" s="512"/>
      <c r="F100" s="160" t="s">
        <v>652</v>
      </c>
      <c r="G100" s="512" t="s">
        <v>653</v>
      </c>
    </row>
    <row r="101" spans="2:7" x14ac:dyDescent="0.3">
      <c r="B101" s="160" t="s">
        <v>654</v>
      </c>
      <c r="C101" s="512" t="s">
        <v>655</v>
      </c>
      <c r="F101" s="160" t="s">
        <v>656</v>
      </c>
      <c r="G101" s="512"/>
    </row>
    <row r="102" spans="2:7" x14ac:dyDescent="0.3">
      <c r="B102" s="160" t="s">
        <v>657</v>
      </c>
      <c r="C102" s="512" t="s">
        <v>658</v>
      </c>
      <c r="F102" s="160" t="s">
        <v>659</v>
      </c>
      <c r="G102" s="512" t="s">
        <v>660</v>
      </c>
    </row>
    <row r="103" spans="2:7" x14ac:dyDescent="0.3">
      <c r="B103" s="160" t="s">
        <v>268</v>
      </c>
      <c r="C103" s="512" t="s">
        <v>661</v>
      </c>
      <c r="F103" s="160" t="s">
        <v>662</v>
      </c>
      <c r="G103" s="512"/>
    </row>
    <row r="104" spans="2:7" x14ac:dyDescent="0.3">
      <c r="B104" s="94"/>
      <c r="C104" s="512"/>
      <c r="F104" s="160" t="s">
        <v>341</v>
      </c>
      <c r="G104" s="512" t="s">
        <v>663</v>
      </c>
    </row>
    <row r="105" spans="2:7" x14ac:dyDescent="0.3">
      <c r="B105" s="530" t="s">
        <v>664</v>
      </c>
      <c r="C105" s="512"/>
      <c r="F105" s="160" t="s">
        <v>665</v>
      </c>
      <c r="G105" s="512" t="s">
        <v>666</v>
      </c>
    </row>
    <row r="106" spans="2:7" x14ac:dyDescent="0.3">
      <c r="B106" s="160" t="s">
        <v>667</v>
      </c>
      <c r="C106" s="512" t="s">
        <v>668</v>
      </c>
      <c r="F106" s="160" t="s">
        <v>669</v>
      </c>
      <c r="G106" s="512"/>
    </row>
    <row r="107" spans="2:7" x14ac:dyDescent="0.3">
      <c r="B107" s="160" t="s">
        <v>670</v>
      </c>
      <c r="C107" s="512" t="s">
        <v>671</v>
      </c>
      <c r="F107" s="160" t="s">
        <v>672</v>
      </c>
      <c r="G107" s="512"/>
    </row>
    <row r="108" spans="2:7" x14ac:dyDescent="0.3">
      <c r="B108" s="160" t="s">
        <v>673</v>
      </c>
      <c r="C108" s="512" t="s">
        <v>674</v>
      </c>
      <c r="F108" s="160" t="s">
        <v>675</v>
      </c>
      <c r="G108" s="512" t="s">
        <v>676</v>
      </c>
    </row>
    <row r="109" spans="2:7" x14ac:dyDescent="0.3">
      <c r="B109" s="160" t="s">
        <v>631</v>
      </c>
      <c r="C109" s="512" t="s">
        <v>677</v>
      </c>
      <c r="F109" s="160" t="s">
        <v>678</v>
      </c>
      <c r="G109" s="512"/>
    </row>
    <row r="110" spans="2:7" x14ac:dyDescent="0.3">
      <c r="B110" s="160" t="s">
        <v>679</v>
      </c>
      <c r="C110" s="512" t="s">
        <v>680</v>
      </c>
      <c r="F110" s="160" t="s">
        <v>681</v>
      </c>
      <c r="G110" s="512" t="s">
        <v>682</v>
      </c>
    </row>
    <row r="111" spans="2:7" x14ac:dyDescent="0.3">
      <c r="B111" s="160" t="s">
        <v>268</v>
      </c>
      <c r="C111" s="512" t="s">
        <v>683</v>
      </c>
      <c r="F111" s="160" t="s">
        <v>684</v>
      </c>
      <c r="G111" s="512" t="s">
        <v>685</v>
      </c>
    </row>
    <row r="112" spans="2:7" x14ac:dyDescent="0.3">
      <c r="B112" s="94"/>
      <c r="C112" s="512"/>
      <c r="F112" s="161" t="s">
        <v>630</v>
      </c>
      <c r="G112" s="513" t="s">
        <v>686</v>
      </c>
    </row>
    <row r="113" spans="2:8" x14ac:dyDescent="0.3">
      <c r="B113" s="530" t="s">
        <v>482</v>
      </c>
      <c r="C113" s="512"/>
    </row>
    <row r="114" spans="2:8" x14ac:dyDescent="0.3">
      <c r="B114" s="160" t="s">
        <v>687</v>
      </c>
      <c r="C114" s="512" t="s">
        <v>688</v>
      </c>
    </row>
    <row r="115" spans="2:8" ht="15.6" x14ac:dyDescent="0.3">
      <c r="B115" s="160" t="s">
        <v>689</v>
      </c>
      <c r="C115" s="512" t="s">
        <v>690</v>
      </c>
      <c r="E115" s="29"/>
      <c r="F115" s="143" t="s">
        <v>691</v>
      </c>
      <c r="G115" s="29"/>
      <c r="H115" s="29"/>
    </row>
    <row r="116" spans="2:8" x14ac:dyDescent="0.3">
      <c r="B116" s="160" t="s">
        <v>692</v>
      </c>
      <c r="C116" s="512" t="s">
        <v>693</v>
      </c>
      <c r="F116" s="139" t="s">
        <v>694</v>
      </c>
      <c r="G116" s="42"/>
    </row>
    <row r="117" spans="2:8" ht="15" thickBot="1" x14ac:dyDescent="0.35">
      <c r="B117" s="160" t="s">
        <v>268</v>
      </c>
      <c r="C117" s="512" t="s">
        <v>695</v>
      </c>
      <c r="F117" s="509" t="s">
        <v>255</v>
      </c>
      <c r="G117" s="510" t="s">
        <v>256</v>
      </c>
    </row>
    <row r="118" spans="2:8" ht="15" thickTop="1" x14ac:dyDescent="0.3">
      <c r="B118" s="94"/>
      <c r="C118" s="512"/>
      <c r="F118" s="160" t="s">
        <v>475</v>
      </c>
      <c r="G118" s="512"/>
    </row>
    <row r="119" spans="2:8" x14ac:dyDescent="0.3">
      <c r="B119" s="530" t="s">
        <v>696</v>
      </c>
      <c r="C119" s="512"/>
      <c r="F119" s="160" t="s">
        <v>697</v>
      </c>
      <c r="G119" s="512" t="s">
        <v>698</v>
      </c>
      <c r="H119" s="29"/>
    </row>
    <row r="120" spans="2:8" x14ac:dyDescent="0.3">
      <c r="B120" s="160" t="s">
        <v>699</v>
      </c>
      <c r="C120" s="512" t="s">
        <v>700</v>
      </c>
      <c r="F120" s="160" t="s">
        <v>701</v>
      </c>
      <c r="G120" s="512" t="s">
        <v>702</v>
      </c>
    </row>
    <row r="121" spans="2:8" x14ac:dyDescent="0.3">
      <c r="B121" s="160" t="s">
        <v>703</v>
      </c>
      <c r="C121" s="512" t="s">
        <v>704</v>
      </c>
      <c r="F121" s="160" t="s">
        <v>705</v>
      </c>
      <c r="G121" s="512" t="s">
        <v>706</v>
      </c>
    </row>
    <row r="122" spans="2:8" x14ac:dyDescent="0.3">
      <c r="B122" s="160" t="s">
        <v>707</v>
      </c>
      <c r="C122" s="512"/>
      <c r="F122" s="160" t="s">
        <v>708</v>
      </c>
      <c r="G122" s="512" t="s">
        <v>709</v>
      </c>
    </row>
    <row r="123" spans="2:8" x14ac:dyDescent="0.3">
      <c r="B123" s="160" t="s">
        <v>710</v>
      </c>
      <c r="C123" s="512" t="s">
        <v>711</v>
      </c>
      <c r="F123" s="160" t="s">
        <v>712</v>
      </c>
      <c r="G123" s="512" t="s">
        <v>713</v>
      </c>
    </row>
    <row r="124" spans="2:8" x14ac:dyDescent="0.3">
      <c r="B124" s="160" t="s">
        <v>714</v>
      </c>
      <c r="C124" s="512"/>
      <c r="F124" s="160" t="s">
        <v>715</v>
      </c>
      <c r="G124" s="512" t="s">
        <v>716</v>
      </c>
    </row>
    <row r="125" spans="2:8" x14ac:dyDescent="0.3">
      <c r="B125" s="160" t="s">
        <v>717</v>
      </c>
      <c r="C125" s="512" t="s">
        <v>718</v>
      </c>
      <c r="F125" s="160" t="s">
        <v>381</v>
      </c>
      <c r="G125" s="512" t="s">
        <v>719</v>
      </c>
    </row>
    <row r="126" spans="2:8" x14ac:dyDescent="0.3">
      <c r="B126" s="160" t="s">
        <v>268</v>
      </c>
      <c r="C126" s="512" t="s">
        <v>720</v>
      </c>
      <c r="F126" s="160" t="s">
        <v>387</v>
      </c>
      <c r="G126" s="512" t="s">
        <v>721</v>
      </c>
    </row>
    <row r="127" spans="2:8" x14ac:dyDescent="0.3">
      <c r="B127" s="94"/>
      <c r="C127" s="512"/>
      <c r="F127" s="160" t="s">
        <v>722</v>
      </c>
      <c r="G127" s="512" t="s">
        <v>723</v>
      </c>
    </row>
    <row r="128" spans="2:8" x14ac:dyDescent="0.3">
      <c r="B128" s="530" t="s">
        <v>724</v>
      </c>
      <c r="C128" s="512"/>
      <c r="F128" s="160" t="s">
        <v>391</v>
      </c>
      <c r="G128" s="512"/>
    </row>
    <row r="129" spans="2:7" x14ac:dyDescent="0.3">
      <c r="B129" s="160" t="s">
        <v>440</v>
      </c>
      <c r="C129" s="512"/>
      <c r="F129" s="160" t="s">
        <v>725</v>
      </c>
      <c r="G129" s="512" t="s">
        <v>726</v>
      </c>
    </row>
    <row r="130" spans="2:7" x14ac:dyDescent="0.3">
      <c r="B130" s="160" t="s">
        <v>441</v>
      </c>
      <c r="C130" s="512"/>
      <c r="F130" s="160" t="s">
        <v>401</v>
      </c>
      <c r="G130" s="512" t="s">
        <v>727</v>
      </c>
    </row>
    <row r="131" spans="2:7" x14ac:dyDescent="0.3">
      <c r="B131" s="160" t="s">
        <v>728</v>
      </c>
      <c r="C131" s="512" t="s">
        <v>729</v>
      </c>
      <c r="F131" s="160" t="s">
        <v>730</v>
      </c>
      <c r="G131" s="512" t="s">
        <v>731</v>
      </c>
    </row>
    <row r="132" spans="2:7" x14ac:dyDescent="0.3">
      <c r="B132" s="160" t="s">
        <v>732</v>
      </c>
      <c r="C132" s="512"/>
      <c r="F132" s="160" t="s">
        <v>403</v>
      </c>
      <c r="G132" s="512" t="s">
        <v>733</v>
      </c>
    </row>
    <row r="133" spans="2:7" x14ac:dyDescent="0.3">
      <c r="B133" s="160" t="s">
        <v>268</v>
      </c>
      <c r="C133" s="512" t="s">
        <v>734</v>
      </c>
      <c r="F133" s="160" t="s">
        <v>404</v>
      </c>
      <c r="G133" s="512" t="s">
        <v>735</v>
      </c>
    </row>
    <row r="134" spans="2:7" x14ac:dyDescent="0.3">
      <c r="B134" s="94"/>
      <c r="C134" s="512"/>
      <c r="F134" s="160" t="s">
        <v>405</v>
      </c>
      <c r="G134" s="512" t="s">
        <v>736</v>
      </c>
    </row>
    <row r="135" spans="2:7" x14ac:dyDescent="0.3">
      <c r="B135" s="530" t="s">
        <v>737</v>
      </c>
      <c r="C135" s="512"/>
      <c r="F135" s="160" t="s">
        <v>406</v>
      </c>
      <c r="G135" s="512" t="s">
        <v>738</v>
      </c>
    </row>
    <row r="136" spans="2:7" x14ac:dyDescent="0.3">
      <c r="B136" s="160" t="s">
        <v>739</v>
      </c>
      <c r="C136" s="512" t="s">
        <v>740</v>
      </c>
      <c r="F136" s="160" t="s">
        <v>407</v>
      </c>
      <c r="G136" s="512" t="s">
        <v>741</v>
      </c>
    </row>
    <row r="137" spans="2:7" x14ac:dyDescent="0.3">
      <c r="B137" s="160" t="s">
        <v>742</v>
      </c>
      <c r="C137" s="512" t="s">
        <v>743</v>
      </c>
      <c r="F137" s="160" t="s">
        <v>82</v>
      </c>
      <c r="G137" s="512" t="s">
        <v>744</v>
      </c>
    </row>
    <row r="138" spans="2:7" x14ac:dyDescent="0.3">
      <c r="B138" s="160" t="s">
        <v>745</v>
      </c>
      <c r="C138" s="512" t="s">
        <v>746</v>
      </c>
      <c r="F138" s="160" t="s">
        <v>747</v>
      </c>
      <c r="G138" s="512" t="s">
        <v>748</v>
      </c>
    </row>
    <row r="139" spans="2:7" x14ac:dyDescent="0.3">
      <c r="B139" s="160" t="s">
        <v>749</v>
      </c>
      <c r="C139" s="512" t="s">
        <v>750</v>
      </c>
      <c r="F139" s="160" t="s">
        <v>751</v>
      </c>
      <c r="G139" s="512" t="s">
        <v>752</v>
      </c>
    </row>
    <row r="140" spans="2:7" x14ac:dyDescent="0.3">
      <c r="B140" s="161" t="s">
        <v>268</v>
      </c>
      <c r="C140" s="513"/>
      <c r="F140" s="160" t="s">
        <v>324</v>
      </c>
      <c r="G140" s="512" t="s">
        <v>753</v>
      </c>
    </row>
    <row r="141" spans="2:7" x14ac:dyDescent="0.3">
      <c r="F141" s="160" t="s">
        <v>408</v>
      </c>
      <c r="G141" s="512" t="s">
        <v>754</v>
      </c>
    </row>
    <row r="142" spans="2:7" x14ac:dyDescent="0.3">
      <c r="F142" s="160" t="s">
        <v>326</v>
      </c>
      <c r="G142" s="512" t="s">
        <v>755</v>
      </c>
    </row>
    <row r="143" spans="2:7" ht="15.6" x14ac:dyDescent="0.3">
      <c r="B143" s="143" t="s">
        <v>790</v>
      </c>
      <c r="C143" s="524"/>
      <c r="F143" s="160" t="s">
        <v>409</v>
      </c>
      <c r="G143" s="512"/>
    </row>
    <row r="144" spans="2:7" ht="15" thickBot="1" x14ac:dyDescent="0.35">
      <c r="B144" s="509" t="s">
        <v>255</v>
      </c>
      <c r="C144" s="510" t="s">
        <v>256</v>
      </c>
      <c r="F144" s="160" t="s">
        <v>410</v>
      </c>
      <c r="G144" s="512"/>
    </row>
    <row r="145" spans="2:8" ht="15" thickTop="1" x14ac:dyDescent="0.3">
      <c r="B145" s="166" t="s">
        <v>475</v>
      </c>
      <c r="C145" s="531"/>
      <c r="F145" s="160" t="s">
        <v>756</v>
      </c>
      <c r="G145" s="512" t="s">
        <v>757</v>
      </c>
    </row>
    <row r="146" spans="2:8" x14ac:dyDescent="0.3">
      <c r="B146" s="160" t="s">
        <v>791</v>
      </c>
      <c r="C146" s="512" t="s">
        <v>792</v>
      </c>
      <c r="F146" s="160" t="s">
        <v>325</v>
      </c>
      <c r="G146" s="512" t="s">
        <v>758</v>
      </c>
    </row>
    <row r="147" spans="2:8" x14ac:dyDescent="0.3">
      <c r="B147" s="160" t="s">
        <v>793</v>
      </c>
      <c r="C147" s="512" t="s">
        <v>794</v>
      </c>
      <c r="F147" s="160" t="s">
        <v>759</v>
      </c>
      <c r="G147" s="512" t="s">
        <v>760</v>
      </c>
    </row>
    <row r="148" spans="2:8" x14ac:dyDescent="0.3">
      <c r="B148" s="160" t="s">
        <v>795</v>
      </c>
      <c r="C148" s="512" t="s">
        <v>796</v>
      </c>
      <c r="F148" s="160" t="s">
        <v>761</v>
      </c>
      <c r="G148" s="512" t="s">
        <v>762</v>
      </c>
    </row>
    <row r="149" spans="2:8" x14ac:dyDescent="0.3">
      <c r="F149" s="160" t="s">
        <v>649</v>
      </c>
      <c r="G149" s="512" t="s">
        <v>763</v>
      </c>
    </row>
    <row r="150" spans="2:8" x14ac:dyDescent="0.3">
      <c r="F150" s="161" t="s">
        <v>630</v>
      </c>
      <c r="G150" s="513" t="s">
        <v>764</v>
      </c>
    </row>
    <row r="152" spans="2:8" x14ac:dyDescent="0.3">
      <c r="E152" s="29"/>
      <c r="F152" s="29"/>
      <c r="G152" s="29"/>
      <c r="H152" s="29"/>
    </row>
  </sheetData>
  <mergeCells count="17">
    <mergeCell ref="A1:D1"/>
    <mergeCell ref="E1:H1"/>
    <mergeCell ref="A2:D2"/>
    <mergeCell ref="E2:H2"/>
    <mergeCell ref="J5:K5"/>
    <mergeCell ref="J32:K32"/>
    <mergeCell ref="N33:O33"/>
    <mergeCell ref="N43:O43"/>
    <mergeCell ref="N54:O54"/>
    <mergeCell ref="R5:S5"/>
    <mergeCell ref="N12:O12"/>
    <mergeCell ref="R17:S17"/>
    <mergeCell ref="J20:K20"/>
    <mergeCell ref="N24:O24"/>
    <mergeCell ref="J26:K26"/>
    <mergeCell ref="R26:S26"/>
    <mergeCell ref="N5:O5"/>
  </mergeCells>
  <pageMargins left="0.7" right="0.7" top="0.75" bottom="0.75" header="0.3" footer="0.3"/>
  <pageSetup scale="49" pageOrder="overThenDown" orientation="portrait" r:id="rId1"/>
  <colBreaks count="3" manualBreakCount="3">
    <brk id="4" max="1048575" man="1"/>
    <brk id="8" max="129" man="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40</vt:i4>
      </vt:variant>
    </vt:vector>
  </HeadingPairs>
  <TitlesOfParts>
    <vt:vector size="47" baseType="lpstr">
      <vt:lpstr>Title Sheet</vt:lpstr>
      <vt:lpstr>Material Classification</vt:lpstr>
      <vt:lpstr>Moisture Content</vt:lpstr>
      <vt:lpstr>Eluate Collection</vt:lpstr>
      <vt:lpstr>Analytical Data</vt:lpstr>
      <vt:lpstr>Composite Samples</vt:lpstr>
      <vt:lpstr>Lists</vt:lpstr>
      <vt:lpstr>Acid_Type</vt:lpstr>
      <vt:lpstr>Air</vt:lpstr>
      <vt:lpstr>Analysis_Methods</vt:lpstr>
      <vt:lpstr>Base_Type</vt:lpstr>
      <vt:lpstr>Batch_Test</vt:lpstr>
      <vt:lpstr>CCR_Category</vt:lpstr>
      <vt:lpstr>Cement_Concrete</vt:lpstr>
      <vt:lpstr>Coal_Combustion</vt:lpstr>
      <vt:lpstr>Coal_Region</vt:lpstr>
      <vt:lpstr>Coal_Type</vt:lpstr>
      <vt:lpstr>Composite_Scheme</vt:lpstr>
      <vt:lpstr>Construction</vt:lpstr>
      <vt:lpstr>Eluant_Comp</vt:lpstr>
      <vt:lpstr>EPA_Citation</vt:lpstr>
      <vt:lpstr>Extract_Comp</vt:lpstr>
      <vt:lpstr>Facility</vt:lpstr>
      <vt:lpstr>FGD_Additive</vt:lpstr>
      <vt:lpstr>FlyAsh_Class</vt:lpstr>
      <vt:lpstr>Fuel</vt:lpstr>
      <vt:lpstr>Handling</vt:lpstr>
      <vt:lpstr>Hg_Sorbent</vt:lpstr>
      <vt:lpstr>Industrial_Waste</vt:lpstr>
      <vt:lpstr>Landfill</vt:lpstr>
      <vt:lpstr>Material_Class</vt:lpstr>
      <vt:lpstr>Mineral_Processing</vt:lpstr>
      <vt:lpstr>Mining</vt:lpstr>
      <vt:lpstr>Municipal_Waste</vt:lpstr>
      <vt:lpstr>NOX_Control</vt:lpstr>
      <vt:lpstr>Nuclear_Waste_Management</vt:lpstr>
      <vt:lpstr>Particulate_Capture</vt:lpstr>
      <vt:lpstr>Reporting_Type</vt:lpstr>
      <vt:lpstr>Sample_Faces</vt:lpstr>
      <vt:lpstr>Sample_Geometry</vt:lpstr>
      <vt:lpstr>Sample_Type</vt:lpstr>
      <vt:lpstr>Scrubber_Type</vt:lpstr>
      <vt:lpstr>SO3_Control</vt:lpstr>
      <vt:lpstr>Soil_Amendment</vt:lpstr>
      <vt:lpstr>Soil_Sediment</vt:lpstr>
      <vt:lpstr>Total_Method</vt:lpstr>
      <vt:lpstr>User_Class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Garrabrants</dc:creator>
  <cp:lastModifiedBy>Hasty, Charity</cp:lastModifiedBy>
  <dcterms:created xsi:type="dcterms:W3CDTF">2008-10-30T16:46:31Z</dcterms:created>
  <dcterms:modified xsi:type="dcterms:W3CDTF">2022-06-16T16:47:37Z</dcterms:modified>
</cp:coreProperties>
</file>