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tneuendorf/Documents/VU Senior Classes/Senior Design/"/>
    </mc:Choice>
  </mc:AlternateContent>
  <xr:revisionPtr revIDLastSave="0" documentId="13_ncr:1_{0CC87578-8144-BB42-8814-D10B117EC5D4}" xr6:coauthVersionLast="36" xr6:coauthVersionMax="36" xr10:uidLastSave="{00000000-0000-0000-0000-000000000000}"/>
  <bookViews>
    <workbookView xWindow="5180" yWindow="460" windowWidth="20960" windowHeight="16340" activeTab="2" xr2:uid="{A1BA547C-AC19-B34D-A726-467AADC0B2AC}"/>
  </bookViews>
  <sheets>
    <sheet name="Pier Design" sheetId="1" r:id="rId1"/>
    <sheet name="Slab Design" sheetId="2" r:id="rId2"/>
    <sheet name="Cost Analysis" sheetId="3" r:id="rId3"/>
    <sheet name="Schedule Analysis" sheetId="4" r:id="rId4"/>
  </sheets>
  <definedNames>
    <definedName name="solver_adj" localSheetId="2" hidden="1">'Cost Analysis'!$B$33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itr" localSheetId="2" hidden="1">2147483647</definedName>
    <definedName name="solver_lin" localSheetId="2" hidden="1">2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0</definedName>
    <definedName name="solver_opt" localSheetId="2" hidden="1">'Cost Analysis'!$U$45</definedName>
    <definedName name="solver_pre" localSheetId="2" hidden="1">0.000001</definedName>
    <definedName name="solver_rbv" localSheetId="2" hidden="1">1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3</definedName>
    <definedName name="solver_val" localSheetId="2" hidden="1">0</definedName>
    <definedName name="solver_ver" localSheetId="2" hidden="1">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2" l="1"/>
  <c r="J2" i="2"/>
  <c r="C34" i="2"/>
  <c r="Q7" i="2"/>
  <c r="C25" i="1" l="1"/>
  <c r="C4" i="1"/>
  <c r="X12" i="3" l="1"/>
  <c r="X7" i="3"/>
  <c r="W12" i="3"/>
  <c r="W11" i="3"/>
  <c r="W10" i="3"/>
  <c r="W7" i="3"/>
  <c r="O38" i="3"/>
  <c r="H3" i="4" l="1"/>
  <c r="B20" i="3" l="1"/>
  <c r="B42" i="3"/>
  <c r="B42" i="1"/>
  <c r="U32" i="3" l="1"/>
  <c r="R32" i="3"/>
  <c r="D32" i="3"/>
  <c r="F26" i="4"/>
  <c r="AA3" i="4"/>
  <c r="AQ3" i="4"/>
  <c r="BG3" i="4"/>
  <c r="T3" i="4"/>
  <c r="D7" i="4"/>
  <c r="L6" i="4" s="1"/>
  <c r="AB3" i="4"/>
  <c r="D41" i="3"/>
  <c r="GB6" i="4" l="1"/>
  <c r="FD6" i="4"/>
  <c r="EV6" i="4"/>
  <c r="FT6" i="4"/>
  <c r="IH6" i="4"/>
  <c r="HL6" i="4"/>
  <c r="GJ6" i="4"/>
  <c r="H6" i="4"/>
  <c r="IB6" i="4"/>
  <c r="HG6" i="4"/>
  <c r="IR6" i="4"/>
  <c r="HW6" i="4"/>
  <c r="GZ6" i="4"/>
  <c r="IM6" i="4"/>
  <c r="HR6" i="4"/>
  <c r="GR6" i="4"/>
  <c r="FL6" i="4"/>
  <c r="AM3" i="4"/>
  <c r="AI3" i="4"/>
  <c r="P3" i="4"/>
  <c r="BC3" i="4"/>
  <c r="L3" i="4"/>
  <c r="AY3" i="4"/>
  <c r="X3" i="4"/>
  <c r="BK3" i="4"/>
  <c r="AU3" i="4"/>
  <c r="AE3" i="4"/>
  <c r="W3" i="4"/>
  <c r="S3" i="4"/>
  <c r="O3" i="4"/>
  <c r="K3" i="4"/>
  <c r="BF3" i="4"/>
  <c r="AX3" i="4"/>
  <c r="AP3" i="4"/>
  <c r="AH3" i="4"/>
  <c r="Z3" i="4"/>
  <c r="V3" i="4"/>
  <c r="R3" i="4"/>
  <c r="N3" i="4"/>
  <c r="J3" i="4"/>
  <c r="BI3" i="4"/>
  <c r="BE3" i="4"/>
  <c r="BA3" i="4"/>
  <c r="AW3" i="4"/>
  <c r="AS3" i="4"/>
  <c r="AO3" i="4"/>
  <c r="AK3" i="4"/>
  <c r="AG3" i="4"/>
  <c r="AC3" i="4"/>
  <c r="Y3" i="4"/>
  <c r="BJ3" i="4"/>
  <c r="BB3" i="4"/>
  <c r="AT3" i="4"/>
  <c r="AL3" i="4"/>
  <c r="AD3" i="4"/>
  <c r="U3" i="4"/>
  <c r="Q3" i="4"/>
  <c r="M3" i="4"/>
  <c r="I3" i="4"/>
  <c r="BH3" i="4"/>
  <c r="BD3" i="4"/>
  <c r="AZ3" i="4"/>
  <c r="AV3" i="4"/>
  <c r="AR3" i="4"/>
  <c r="AN3" i="4"/>
  <c r="AJ3" i="4"/>
  <c r="AF3" i="4"/>
  <c r="EN6" i="4"/>
  <c r="EF6" i="4"/>
  <c r="DX6" i="4"/>
  <c r="DP6" i="4"/>
  <c r="DH6" i="4"/>
  <c r="CZ6" i="4"/>
  <c r="CR6" i="4"/>
  <c r="CJ6" i="4"/>
  <c r="CB6" i="4"/>
  <c r="BT6" i="4"/>
  <c r="BL6" i="4"/>
  <c r="BD6" i="4"/>
  <c r="AV6" i="4"/>
  <c r="AN6" i="4"/>
  <c r="AF6" i="4"/>
  <c r="X6" i="4"/>
  <c r="P6" i="4"/>
  <c r="IV6" i="4"/>
  <c r="IQ6" i="4"/>
  <c r="IL6" i="4"/>
  <c r="IF6" i="4"/>
  <c r="IA6" i="4"/>
  <c r="HV6" i="4"/>
  <c r="HP6" i="4"/>
  <c r="HK6" i="4"/>
  <c r="HF6" i="4"/>
  <c r="GY6" i="4"/>
  <c r="GQ6" i="4"/>
  <c r="GI6" i="4"/>
  <c r="GA6" i="4"/>
  <c r="FS6" i="4"/>
  <c r="FK6" i="4"/>
  <c r="FC6" i="4"/>
  <c r="EU6" i="4"/>
  <c r="EM6" i="4"/>
  <c r="EE6" i="4"/>
  <c r="DW6" i="4"/>
  <c r="DO6" i="4"/>
  <c r="DG6" i="4"/>
  <c r="CY6" i="4"/>
  <c r="CQ6" i="4"/>
  <c r="CI6" i="4"/>
  <c r="CA6" i="4"/>
  <c r="BS6" i="4"/>
  <c r="BK6" i="4"/>
  <c r="BC6" i="4"/>
  <c r="AU6" i="4"/>
  <c r="AM6" i="4"/>
  <c r="AE6" i="4"/>
  <c r="W6" i="4"/>
  <c r="O6" i="4"/>
  <c r="IU6" i="4"/>
  <c r="IP6" i="4"/>
  <c r="IJ6" i="4"/>
  <c r="IE6" i="4"/>
  <c r="HZ6" i="4"/>
  <c r="HT6" i="4"/>
  <c r="HO6" i="4"/>
  <c r="HJ6" i="4"/>
  <c r="HD6" i="4"/>
  <c r="GV6" i="4"/>
  <c r="GN6" i="4"/>
  <c r="GF6" i="4"/>
  <c r="FX6" i="4"/>
  <c r="FP6" i="4"/>
  <c r="FH6" i="4"/>
  <c r="EZ6" i="4"/>
  <c r="ER6" i="4"/>
  <c r="EJ6" i="4"/>
  <c r="EB6" i="4"/>
  <c r="DT6" i="4"/>
  <c r="DL6" i="4"/>
  <c r="DD6" i="4"/>
  <c r="CV6" i="4"/>
  <c r="CN6" i="4"/>
  <c r="CF6" i="4"/>
  <c r="BX6" i="4"/>
  <c r="BP6" i="4"/>
  <c r="BH6" i="4"/>
  <c r="AZ6" i="4"/>
  <c r="AR6" i="4"/>
  <c r="AJ6" i="4"/>
  <c r="AB6" i="4"/>
  <c r="T6" i="4"/>
  <c r="I6" i="4"/>
  <c r="M6" i="4"/>
  <c r="Q6" i="4"/>
  <c r="U6" i="4"/>
  <c r="Y6" i="4"/>
  <c r="AC6" i="4"/>
  <c r="AG6" i="4"/>
  <c r="AK6" i="4"/>
  <c r="AO6" i="4"/>
  <c r="AS6" i="4"/>
  <c r="AW6" i="4"/>
  <c r="BA6" i="4"/>
  <c r="BE6" i="4"/>
  <c r="BI6" i="4"/>
  <c r="BM6" i="4"/>
  <c r="BQ6" i="4"/>
  <c r="BU6" i="4"/>
  <c r="BY6" i="4"/>
  <c r="CC6" i="4"/>
  <c r="CG6" i="4"/>
  <c r="CK6" i="4"/>
  <c r="CO6" i="4"/>
  <c r="CS6" i="4"/>
  <c r="CW6" i="4"/>
  <c r="DA6" i="4"/>
  <c r="DE6" i="4"/>
  <c r="DI6" i="4"/>
  <c r="DM6" i="4"/>
  <c r="DQ6" i="4"/>
  <c r="DU6" i="4"/>
  <c r="DY6" i="4"/>
  <c r="EC6" i="4"/>
  <c r="EG6" i="4"/>
  <c r="EK6" i="4"/>
  <c r="EO6" i="4"/>
  <c r="ES6" i="4"/>
  <c r="EW6" i="4"/>
  <c r="FA6" i="4"/>
  <c r="FE6" i="4"/>
  <c r="FI6" i="4"/>
  <c r="FM6" i="4"/>
  <c r="FQ6" i="4"/>
  <c r="FU6" i="4"/>
  <c r="FY6" i="4"/>
  <c r="GC6" i="4"/>
  <c r="GG6" i="4"/>
  <c r="GK6" i="4"/>
  <c r="GO6" i="4"/>
  <c r="GS6" i="4"/>
  <c r="GW6" i="4"/>
  <c r="HA6" i="4"/>
  <c r="HE6" i="4"/>
  <c r="HI6" i="4"/>
  <c r="HM6" i="4"/>
  <c r="HQ6" i="4"/>
  <c r="HU6" i="4"/>
  <c r="HY6" i="4"/>
  <c r="IC6" i="4"/>
  <c r="IG6" i="4"/>
  <c r="IK6" i="4"/>
  <c r="IO6" i="4"/>
  <c r="IS6" i="4"/>
  <c r="IW6" i="4"/>
  <c r="DV6" i="4"/>
  <c r="DZ6" i="4"/>
  <c r="ED6" i="4"/>
  <c r="EH6" i="4"/>
  <c r="EL6" i="4"/>
  <c r="EP6" i="4"/>
  <c r="ET6" i="4"/>
  <c r="EX6" i="4"/>
  <c r="FB6" i="4"/>
  <c r="FF6" i="4"/>
  <c r="FJ6" i="4"/>
  <c r="FN6" i="4"/>
  <c r="FR6" i="4"/>
  <c r="FV6" i="4"/>
  <c r="FZ6" i="4"/>
  <c r="GD6" i="4"/>
  <c r="GH6" i="4"/>
  <c r="GL6" i="4"/>
  <c r="GP6" i="4"/>
  <c r="GT6" i="4"/>
  <c r="GX6" i="4"/>
  <c r="HB6" i="4"/>
  <c r="J6" i="4"/>
  <c r="N6" i="4"/>
  <c r="R6" i="4"/>
  <c r="V6" i="4"/>
  <c r="Z6" i="4"/>
  <c r="AD6" i="4"/>
  <c r="AH6" i="4"/>
  <c r="AL6" i="4"/>
  <c r="AP6" i="4"/>
  <c r="AT6" i="4"/>
  <c r="AX6" i="4"/>
  <c r="BB6" i="4"/>
  <c r="BF6" i="4"/>
  <c r="BJ6" i="4"/>
  <c r="BN6" i="4"/>
  <c r="BR6" i="4"/>
  <c r="BV6" i="4"/>
  <c r="BZ6" i="4"/>
  <c r="CD6" i="4"/>
  <c r="CH6" i="4"/>
  <c r="CL6" i="4"/>
  <c r="CP6" i="4"/>
  <c r="CT6" i="4"/>
  <c r="CX6" i="4"/>
  <c r="DB6" i="4"/>
  <c r="DF6" i="4"/>
  <c r="DJ6" i="4"/>
  <c r="DN6" i="4"/>
  <c r="DR6" i="4"/>
  <c r="IT6" i="4"/>
  <c r="IN6" i="4"/>
  <c r="II6" i="4"/>
  <c r="ID6" i="4"/>
  <c r="HX6" i="4"/>
  <c r="HS6" i="4"/>
  <c r="HN6" i="4"/>
  <c r="HH6" i="4"/>
  <c r="HC6" i="4"/>
  <c r="GU6" i="4"/>
  <c r="GM6" i="4"/>
  <c r="GE6" i="4"/>
  <c r="FW6" i="4"/>
  <c r="FO6" i="4"/>
  <c r="FG6" i="4"/>
  <c r="EY6" i="4"/>
  <c r="EQ6" i="4"/>
  <c r="EI6" i="4"/>
  <c r="EA6" i="4"/>
  <c r="DS6" i="4"/>
  <c r="DK6" i="4"/>
  <c r="DC6" i="4"/>
  <c r="CU6" i="4"/>
  <c r="CM6" i="4"/>
  <c r="CE6" i="4"/>
  <c r="BW6" i="4"/>
  <c r="BO6" i="4"/>
  <c r="BG6" i="4"/>
  <c r="AY6" i="4"/>
  <c r="AQ6" i="4"/>
  <c r="AI6" i="4"/>
  <c r="AA6" i="4"/>
  <c r="S6" i="4"/>
  <c r="K6" i="4"/>
  <c r="U39" i="3"/>
  <c r="D20" i="3"/>
  <c r="U21" i="3" s="1"/>
  <c r="R39" i="3"/>
  <c r="R21" i="3" l="1"/>
  <c r="P55" i="2"/>
  <c r="O9" i="3" l="1"/>
  <c r="AB37" i="2"/>
  <c r="D39" i="3"/>
  <c r="R40" i="3"/>
  <c r="P17" i="2" l="1"/>
  <c r="C41" i="2" s="1"/>
  <c r="C35" i="2"/>
  <c r="R29" i="3"/>
  <c r="D38" i="3"/>
  <c r="U36" i="3" s="1"/>
  <c r="D5" i="3"/>
  <c r="M44" i="3"/>
  <c r="L44" i="3"/>
  <c r="M43" i="3"/>
  <c r="L43" i="3"/>
  <c r="M42" i="3"/>
  <c r="L42" i="3"/>
  <c r="M41" i="3"/>
  <c r="L41" i="3"/>
  <c r="M40" i="3"/>
  <c r="L40" i="3"/>
  <c r="M39" i="3"/>
  <c r="L39" i="3"/>
  <c r="M38" i="3"/>
  <c r="L38" i="3"/>
  <c r="M27" i="3"/>
  <c r="M28" i="3"/>
  <c r="M29" i="3"/>
  <c r="M30" i="3"/>
  <c r="M31" i="3"/>
  <c r="M32" i="3"/>
  <c r="M33" i="3"/>
  <c r="M34" i="3"/>
  <c r="M26" i="3"/>
  <c r="L26" i="3"/>
  <c r="L27" i="3"/>
  <c r="L28" i="3"/>
  <c r="L29" i="3"/>
  <c r="L30" i="3"/>
  <c r="L31" i="3"/>
  <c r="L32" i="3"/>
  <c r="L33" i="3"/>
  <c r="L34" i="3"/>
  <c r="H17" i="3"/>
  <c r="U37" i="3" s="1"/>
  <c r="X6" i="3" s="1"/>
  <c r="L45" i="3" l="1"/>
  <c r="M45" i="3"/>
  <c r="M35" i="3"/>
  <c r="D7" i="3" s="1"/>
  <c r="D40" i="3" s="1"/>
  <c r="L35" i="3"/>
  <c r="I19" i="3" s="1"/>
  <c r="E34" i="1"/>
  <c r="R37" i="3"/>
  <c r="R36" i="3"/>
  <c r="O37" i="3"/>
  <c r="O36" i="3"/>
  <c r="U20" i="3"/>
  <c r="U19" i="3"/>
  <c r="U7" i="3"/>
  <c r="R20" i="3"/>
  <c r="R19" i="3"/>
  <c r="R7" i="3"/>
  <c r="O32" i="3"/>
  <c r="O29" i="3"/>
  <c r="O20" i="3"/>
  <c r="O21" i="3"/>
  <c r="O22" i="3"/>
  <c r="O23" i="3"/>
  <c r="O24" i="3"/>
  <c r="O19" i="3"/>
  <c r="O6" i="3"/>
  <c r="O7" i="3"/>
  <c r="O8" i="3"/>
  <c r="O10" i="3"/>
  <c r="O11" i="3"/>
  <c r="O13" i="3"/>
  <c r="O14" i="3"/>
  <c r="O12" i="3"/>
  <c r="D8" i="3" l="1"/>
  <c r="R10" i="3" s="1"/>
  <c r="U26" i="3"/>
  <c r="U38" i="3"/>
  <c r="R38" i="3"/>
  <c r="X7" i="2"/>
  <c r="W7" i="2"/>
  <c r="V7" i="2"/>
  <c r="R7" i="2"/>
  <c r="P7" i="2"/>
  <c r="B41" i="3" l="1"/>
  <c r="U40" i="3" s="1"/>
  <c r="X13" i="3" s="1"/>
  <c r="X8" i="3"/>
  <c r="U42" i="3"/>
  <c r="U10" i="3"/>
  <c r="S17" i="2"/>
  <c r="X15" i="3" l="1"/>
  <c r="E37" i="1"/>
  <c r="C19" i="1"/>
  <c r="AB38" i="2"/>
  <c r="AB42" i="2"/>
  <c r="AB39" i="2" l="1"/>
  <c r="C37" i="2" l="1"/>
  <c r="C19" i="2" l="1"/>
  <c r="P56" i="2" s="1"/>
  <c r="S49" i="2" l="1"/>
  <c r="P49" i="2"/>
  <c r="C15" i="1"/>
  <c r="B43" i="1"/>
  <c r="Q26" i="2"/>
  <c r="T26" i="2"/>
  <c r="W26" i="2"/>
  <c r="Z26" i="2"/>
  <c r="V3" i="2"/>
  <c r="C28" i="2" l="1"/>
  <c r="C5" i="2"/>
  <c r="C6" i="2" s="1"/>
  <c r="P54" i="2" s="1"/>
  <c r="C33" i="2" l="1"/>
  <c r="C32" i="2"/>
  <c r="P5" i="2" s="1"/>
  <c r="C39" i="2"/>
  <c r="C38" i="2"/>
  <c r="C10" i="2"/>
  <c r="C24" i="2" s="1"/>
  <c r="C23" i="2"/>
  <c r="C22" i="2"/>
  <c r="Y3" i="2"/>
  <c r="S3" i="2"/>
  <c r="P3" i="2"/>
  <c r="C20" i="2"/>
  <c r="P57" i="2" s="1"/>
  <c r="C8" i="1"/>
  <c r="C24" i="1" s="1"/>
  <c r="F36" i="1" s="1"/>
  <c r="C17" i="1"/>
  <c r="E33" i="1" s="1"/>
  <c r="C14" i="1"/>
  <c r="C13" i="1"/>
  <c r="J3" i="1"/>
  <c r="C27" i="1" l="1"/>
  <c r="B44" i="1" s="1"/>
  <c r="C26" i="1"/>
  <c r="E35" i="1" s="1"/>
  <c r="P45" i="2"/>
  <c r="P12" i="2"/>
  <c r="P25" i="2" s="1"/>
  <c r="J7" i="1"/>
  <c r="D9" i="3"/>
  <c r="J17" i="3"/>
  <c r="C16" i="1"/>
  <c r="C21" i="2"/>
  <c r="P6" i="2" s="1"/>
  <c r="Y49" i="2"/>
  <c r="V17" i="2"/>
  <c r="C42" i="2" s="1"/>
  <c r="V49" i="2"/>
  <c r="I18" i="3" s="1"/>
  <c r="I17" i="3" s="1"/>
  <c r="L20" i="3" s="1"/>
  <c r="Y17" i="2"/>
  <c r="Z42" i="2"/>
  <c r="W42" i="2"/>
  <c r="T42" i="2"/>
  <c r="Q42" i="2"/>
  <c r="C18" i="1"/>
  <c r="C23" i="1" s="1"/>
  <c r="C3" i="1"/>
  <c r="E32" i="1"/>
  <c r="P4" i="2"/>
  <c r="P8" i="2" s="1"/>
  <c r="S4" i="2"/>
  <c r="V4" i="2"/>
  <c r="Y4" i="2"/>
  <c r="F34" i="1" l="1"/>
  <c r="G34" i="1" s="1"/>
  <c r="F33" i="1"/>
  <c r="G33" i="1" s="1"/>
  <c r="P13" i="2"/>
  <c r="P16" i="2"/>
  <c r="R11" i="2"/>
  <c r="P11" i="2"/>
  <c r="P26" i="2" s="1"/>
  <c r="S21" i="2"/>
  <c r="S22" i="2" s="1"/>
  <c r="P21" i="2"/>
  <c r="Q22" i="2" s="1"/>
  <c r="P58" i="2"/>
  <c r="D6" i="3" s="1"/>
  <c r="R11" i="3"/>
  <c r="U11" i="3"/>
  <c r="W9" i="3" s="1"/>
  <c r="P9" i="2"/>
  <c r="R9" i="2"/>
  <c r="Y21" i="2"/>
  <c r="V21" i="2"/>
  <c r="K17" i="3"/>
  <c r="B45" i="1"/>
  <c r="L17" i="3"/>
  <c r="L21" i="3" s="1"/>
  <c r="M20" i="3" s="1"/>
  <c r="M21" i="3" s="1"/>
  <c r="R52" i="2"/>
  <c r="AA18" i="2"/>
  <c r="AA19" i="2" s="1"/>
  <c r="W18" i="2"/>
  <c r="W20" i="2" s="1"/>
  <c r="Q18" i="2"/>
  <c r="Q20" i="2" s="1"/>
  <c r="U18" i="2"/>
  <c r="U19" i="2" s="1"/>
  <c r="X18" i="2"/>
  <c r="X19" i="2" s="1"/>
  <c r="R18" i="2"/>
  <c r="R19" i="2" s="1"/>
  <c r="Y18" i="2"/>
  <c r="Y19" i="2" s="1"/>
  <c r="S18" i="2"/>
  <c r="S19" i="2" s="1"/>
  <c r="Z18" i="2"/>
  <c r="Z20" i="2" s="1"/>
  <c r="T18" i="2"/>
  <c r="T20" i="2" s="1"/>
  <c r="V18" i="2"/>
  <c r="V19" i="2" s="1"/>
  <c r="P18" i="2"/>
  <c r="P19" i="2" s="1"/>
  <c r="U52" i="2"/>
  <c r="AA52" i="2"/>
  <c r="X52" i="2"/>
  <c r="V52" i="2"/>
  <c r="P52" i="2"/>
  <c r="V6" i="2"/>
  <c r="AC42" i="2"/>
  <c r="C25" i="2"/>
  <c r="AB45" i="2" s="1"/>
  <c r="C27" i="2"/>
  <c r="C29" i="2" s="1"/>
  <c r="C26" i="2" s="1"/>
  <c r="S6" i="2"/>
  <c r="Y6" i="2"/>
  <c r="T22" i="2" l="1"/>
  <c r="U22" i="2"/>
  <c r="U37" i="2" s="1"/>
  <c r="P22" i="2"/>
  <c r="P37" i="2" s="1"/>
  <c r="S37" i="2"/>
  <c r="Q37" i="2"/>
  <c r="R22" i="2"/>
  <c r="R37" i="2" s="1"/>
  <c r="T37" i="2"/>
  <c r="U8" i="3"/>
  <c r="R8" i="3"/>
  <c r="M17" i="3"/>
  <c r="D4" i="3" s="1"/>
  <c r="U6" i="3" s="1"/>
  <c r="W6" i="3" s="1"/>
  <c r="X22" i="2"/>
  <c r="X37" i="2" s="1"/>
  <c r="V22" i="2"/>
  <c r="V37" i="2" s="1"/>
  <c r="W22" i="2"/>
  <c r="W37" i="2" s="1"/>
  <c r="Z22" i="2"/>
  <c r="Z37" i="2" s="1"/>
  <c r="AA22" i="2"/>
  <c r="AA37" i="2" s="1"/>
  <c r="Y22" i="2"/>
  <c r="Y37" i="2" s="1"/>
  <c r="Y13" i="2"/>
  <c r="S13" i="2"/>
  <c r="V13" i="2"/>
  <c r="V16" i="2"/>
  <c r="S16" i="2"/>
  <c r="Y16" i="2"/>
  <c r="C31" i="2"/>
  <c r="V5" i="2"/>
  <c r="AD6" i="2"/>
  <c r="R6" i="3" l="1"/>
  <c r="AC37" i="2"/>
  <c r="R9" i="3"/>
  <c r="U9" i="3"/>
  <c r="X12" i="2"/>
  <c r="X25" i="2" s="1"/>
  <c r="X45" i="2"/>
  <c r="W45" i="2"/>
  <c r="V45" i="2"/>
  <c r="C2" i="1"/>
  <c r="S5" i="2"/>
  <c r="U11" i="2" s="1"/>
  <c r="U26" i="2" s="1"/>
  <c r="Y5" i="2"/>
  <c r="AA45" i="2" s="1"/>
  <c r="X11" i="2"/>
  <c r="X26" i="2" s="1"/>
  <c r="V12" i="2"/>
  <c r="V25" i="2" s="1"/>
  <c r="V8" i="2"/>
  <c r="V11" i="2"/>
  <c r="V26" i="2" s="1"/>
  <c r="F35" i="1" l="1"/>
  <c r="E36" i="1"/>
  <c r="U16" i="3"/>
  <c r="B32" i="3" s="1"/>
  <c r="U29" i="3" s="1"/>
  <c r="W8" i="3"/>
  <c r="F32" i="1"/>
  <c r="S11" i="2"/>
  <c r="S26" i="2" s="1"/>
  <c r="S12" i="2"/>
  <c r="S25" i="2" s="1"/>
  <c r="R45" i="2"/>
  <c r="Q45" i="2"/>
  <c r="U12" i="2"/>
  <c r="U25" i="2" s="1"/>
  <c r="U45" i="2"/>
  <c r="S45" i="2"/>
  <c r="T45" i="2"/>
  <c r="Y12" i="2"/>
  <c r="Y25" i="2" s="1"/>
  <c r="Y45" i="2"/>
  <c r="Z45" i="2"/>
  <c r="R12" i="2"/>
  <c r="R25" i="2" s="1"/>
  <c r="S8" i="2"/>
  <c r="S9" i="2" s="1"/>
  <c r="Y11" i="2"/>
  <c r="Y26" i="2" s="1"/>
  <c r="AA12" i="2"/>
  <c r="AA25" i="2" s="1"/>
  <c r="Y8" i="2"/>
  <c r="AA9" i="2" s="1"/>
  <c r="AA11" i="2"/>
  <c r="AA26" i="2" s="1"/>
  <c r="R26" i="2"/>
  <c r="G36" i="1"/>
  <c r="G35" i="1"/>
  <c r="X9" i="2"/>
  <c r="W10" i="2"/>
  <c r="V9" i="2"/>
  <c r="F37" i="1" l="1"/>
  <c r="G37" i="1" s="1"/>
  <c r="F38" i="1"/>
  <c r="G38" i="1" s="1"/>
  <c r="U31" i="3"/>
  <c r="W13" i="3"/>
  <c r="G32" i="1"/>
  <c r="U9" i="2"/>
  <c r="Q10" i="2"/>
  <c r="T10" i="2"/>
  <c r="AC45" i="2"/>
  <c r="Y9" i="2"/>
  <c r="Z10" i="2"/>
  <c r="U33" i="3" l="1"/>
  <c r="U45" i="3" s="1"/>
  <c r="W14" i="3"/>
  <c r="W15" i="3" s="1"/>
  <c r="X14" i="2"/>
  <c r="X27" i="2" s="1"/>
  <c r="V14" i="2"/>
  <c r="V27" i="2" s="1"/>
  <c r="W15" i="2"/>
  <c r="W28" i="2" s="1"/>
  <c r="W31" i="2" l="1"/>
  <c r="W39" i="2" s="1"/>
  <c r="W33" i="2"/>
  <c r="W34" i="2" s="1"/>
  <c r="W51" i="2" s="1"/>
  <c r="W43" i="2"/>
  <c r="W40" i="2" s="1"/>
  <c r="V33" i="2"/>
  <c r="V34" i="2" s="1"/>
  <c r="V51" i="2" s="1"/>
  <c r="V43" i="2"/>
  <c r="V40" i="2" s="1"/>
  <c r="V31" i="2"/>
  <c r="V39" i="2" s="1"/>
  <c r="X33" i="2"/>
  <c r="X34" i="2" s="1"/>
  <c r="X31" i="2"/>
  <c r="X39" i="2" s="1"/>
  <c r="X43" i="2"/>
  <c r="X40" i="2" s="1"/>
  <c r="R14" i="2"/>
  <c r="R27" i="2" s="1"/>
  <c r="Q15" i="2"/>
  <c r="Q28" i="2" s="1"/>
  <c r="Q43" i="2" s="1"/>
  <c r="Q40" i="2" s="1"/>
  <c r="P14" i="2"/>
  <c r="P27" i="2" s="1"/>
  <c r="P31" i="2" s="1"/>
  <c r="P32" i="2" s="1"/>
  <c r="U14" i="2"/>
  <c r="U27" i="2" s="1"/>
  <c r="T15" i="2"/>
  <c r="T28" i="2" s="1"/>
  <c r="S14" i="2"/>
  <c r="S27" i="2" s="1"/>
  <c r="Z15" i="2"/>
  <c r="Z28" i="2" s="1"/>
  <c r="Z43" i="2" s="1"/>
  <c r="Z40" i="2" s="1"/>
  <c r="AA14" i="2"/>
  <c r="AA27" i="2" s="1"/>
  <c r="AA43" i="2" s="1"/>
  <c r="AA40" i="2" s="1"/>
  <c r="Y14" i="2"/>
  <c r="Y27" i="2" s="1"/>
  <c r="P39" i="2" l="1"/>
  <c r="P43" i="2"/>
  <c r="P40" i="2" s="1"/>
  <c r="P33" i="2"/>
  <c r="P34" i="2" s="1"/>
  <c r="P51" i="2" s="1"/>
  <c r="Q31" i="2"/>
  <c r="Q39" i="2" s="1"/>
  <c r="Q33" i="2"/>
  <c r="Q34" i="2" s="1"/>
  <c r="Q51" i="2" s="1"/>
  <c r="Y43" i="2"/>
  <c r="Y40" i="2" s="1"/>
  <c r="Y33" i="2"/>
  <c r="Y34" i="2" s="1"/>
  <c r="X51" i="2" s="1"/>
  <c r="Y31" i="2"/>
  <c r="Y39" i="2" s="1"/>
  <c r="V32" i="2"/>
  <c r="Z31" i="2"/>
  <c r="Z39" i="2" s="1"/>
  <c r="Z33" i="2"/>
  <c r="Z34" i="2" s="1"/>
  <c r="Z51" i="2" s="1"/>
  <c r="S31" i="2"/>
  <c r="S39" i="2" s="1"/>
  <c r="S43" i="2"/>
  <c r="S40" i="2" s="1"/>
  <c r="S33" i="2"/>
  <c r="S34" i="2" s="1"/>
  <c r="T33" i="2"/>
  <c r="T34" i="2" s="1"/>
  <c r="T51" i="2" s="1"/>
  <c r="T31" i="2"/>
  <c r="T39" i="2" s="1"/>
  <c r="T43" i="2"/>
  <c r="T40" i="2" s="1"/>
  <c r="R31" i="2"/>
  <c r="R39" i="2" s="1"/>
  <c r="R43" i="2"/>
  <c r="R40" i="2" s="1"/>
  <c r="R33" i="2"/>
  <c r="R34" i="2" s="1"/>
  <c r="AA33" i="2"/>
  <c r="AA34" i="2" s="1"/>
  <c r="AA51" i="2" s="1"/>
  <c r="AA31" i="2"/>
  <c r="AA39" i="2" s="1"/>
  <c r="U43" i="2"/>
  <c r="U40" i="2" s="1"/>
  <c r="U33" i="2"/>
  <c r="U34" i="2" s="1"/>
  <c r="U51" i="2" s="1"/>
  <c r="U31" i="2"/>
  <c r="U39" i="2" s="1"/>
  <c r="X32" i="2"/>
  <c r="W32" i="2"/>
  <c r="X44" i="2" l="1"/>
  <c r="AU19" i="2" s="1"/>
  <c r="W44" i="2"/>
  <c r="AT19" i="2" s="1"/>
  <c r="V44" i="2"/>
  <c r="AS19" i="2" s="1"/>
  <c r="R51" i="2"/>
  <c r="R32" i="2"/>
  <c r="W50" i="2"/>
  <c r="W41" i="2" s="1"/>
  <c r="AT15" i="2" s="1"/>
  <c r="W38" i="2"/>
  <c r="AA32" i="2"/>
  <c r="T32" i="2"/>
  <c r="Z32" i="2"/>
  <c r="Y32" i="2"/>
  <c r="Y44" i="2" s="1"/>
  <c r="X38" i="2"/>
  <c r="V50" i="2"/>
  <c r="V41" i="2" s="1"/>
  <c r="AS15" i="2" s="1"/>
  <c r="V38" i="2"/>
  <c r="U32" i="2"/>
  <c r="S32" i="2"/>
  <c r="S44" i="2" s="1"/>
  <c r="Q32" i="2"/>
  <c r="Q44" i="2" s="1"/>
  <c r="P44" i="2"/>
  <c r="Z44" i="2" l="1"/>
  <c r="AW19" i="2" s="1"/>
  <c r="AA44" i="2"/>
  <c r="AX19" i="2" s="1"/>
  <c r="AM19" i="2"/>
  <c r="U44" i="2"/>
  <c r="AR19" i="2" s="1"/>
  <c r="R44" i="2"/>
  <c r="AO19" i="2" s="1"/>
  <c r="T44" i="2"/>
  <c r="AQ19" i="2" s="1"/>
  <c r="AN19" i="2"/>
  <c r="S38" i="2"/>
  <c r="AP19" i="2"/>
  <c r="Y38" i="2"/>
  <c r="AV19" i="2"/>
  <c r="T50" i="2"/>
  <c r="T41" i="2" s="1"/>
  <c r="AQ15" i="2" s="1"/>
  <c r="T38" i="2"/>
  <c r="U38" i="2"/>
  <c r="U50" i="2"/>
  <c r="U41" i="2" s="1"/>
  <c r="AR15" i="2" s="1"/>
  <c r="P38" i="2"/>
  <c r="P50" i="2"/>
  <c r="AC39" i="2"/>
  <c r="X50" i="2"/>
  <c r="Q38" i="2"/>
  <c r="Q50" i="2"/>
  <c r="Q41" i="2" s="1"/>
  <c r="AN15" i="2" s="1"/>
  <c r="Z38" i="2"/>
  <c r="Z50" i="2"/>
  <c r="Z41" i="2" s="1"/>
  <c r="AW15" i="2" s="1"/>
  <c r="AA50" i="2"/>
  <c r="AA41" i="2" s="1"/>
  <c r="AX15" i="2" s="1"/>
  <c r="AA38" i="2"/>
  <c r="R38" i="2"/>
  <c r="R50" i="2"/>
  <c r="P41" i="2" l="1"/>
  <c r="AM15" i="2" s="1"/>
  <c r="Y41" i="2"/>
  <c r="AV15" i="2" s="1"/>
  <c r="X41" i="2"/>
  <c r="AU15" i="2" s="1"/>
  <c r="R41" i="2"/>
  <c r="AO15" i="2" s="1"/>
  <c r="S41" i="2"/>
  <c r="AP15" i="2" s="1"/>
  <c r="AC44" i="2"/>
  <c r="AC38" i="2"/>
  <c r="AC41" i="2" l="1"/>
</calcChain>
</file>

<file path=xl/sharedStrings.xml><?xml version="1.0" encoding="utf-8"?>
<sst xmlns="http://schemas.openxmlformats.org/spreadsheetml/2006/main" count="608" uniqueCount="369">
  <si>
    <t>Materials</t>
  </si>
  <si>
    <t>Labor</t>
  </si>
  <si>
    <t>Item</t>
  </si>
  <si>
    <t>Unit Cost</t>
  </si>
  <si>
    <t>Units</t>
  </si>
  <si>
    <t>Amount Needed</t>
  </si>
  <si>
    <t>Cost of Capital</t>
  </si>
  <si>
    <t>Concrete</t>
  </si>
  <si>
    <t>Engineer</t>
  </si>
  <si>
    <t>Cost of Capital Benchmark</t>
  </si>
  <si>
    <t>%</t>
  </si>
  <si>
    <t>Costs Removed</t>
  </si>
  <si>
    <t>Costs Incurred</t>
  </si>
  <si>
    <t>Costs Unchanged</t>
  </si>
  <si>
    <t>geotechnical report</t>
  </si>
  <si>
    <t>overexcavation</t>
  </si>
  <si>
    <t>pier drilling</t>
  </si>
  <si>
    <t>standard foundation</t>
  </si>
  <si>
    <t>PT foundation</t>
  </si>
  <si>
    <t>roadway overexcavation</t>
  </si>
  <si>
    <t>Tella Firma devices</t>
  </si>
  <si>
    <t>Design Process</t>
  </si>
  <si>
    <t>Engineering oversight</t>
  </si>
  <si>
    <t>Costs Changed</t>
  </si>
  <si>
    <t>Schedule costs</t>
  </si>
  <si>
    <t>permitting</t>
  </si>
  <si>
    <t>Checks</t>
  </si>
  <si>
    <t>Source</t>
  </si>
  <si>
    <t>Success?</t>
  </si>
  <si>
    <t>ACI 318-19 Table 13.4.2.1</t>
  </si>
  <si>
    <t>Compressive</t>
  </si>
  <si>
    <t>Moment</t>
  </si>
  <si>
    <t>Shear</t>
  </si>
  <si>
    <t>Inputs</t>
  </si>
  <si>
    <t>Value</t>
  </si>
  <si>
    <t>DL</t>
  </si>
  <si>
    <t>LL</t>
  </si>
  <si>
    <t>Yw</t>
  </si>
  <si>
    <t>Weight of Water</t>
  </si>
  <si>
    <t>Explanation</t>
  </si>
  <si>
    <t>qp</t>
  </si>
  <si>
    <t>soil unit bearing pressure</t>
  </si>
  <si>
    <t>fo</t>
  </si>
  <si>
    <t>soil average side friction</t>
  </si>
  <si>
    <t>Su</t>
  </si>
  <si>
    <t>undrained soil strength</t>
  </si>
  <si>
    <t>COLE</t>
  </si>
  <si>
    <t>Soil COLE value</t>
  </si>
  <si>
    <t>Desin Criteria</t>
  </si>
  <si>
    <t>Unts</t>
  </si>
  <si>
    <t>B</t>
  </si>
  <si>
    <t>e</t>
  </si>
  <si>
    <t>dp</t>
  </si>
  <si>
    <t>height below soil</t>
  </si>
  <si>
    <t>width</t>
  </si>
  <si>
    <t>f'c</t>
  </si>
  <si>
    <t>Pult</t>
  </si>
  <si>
    <t>concrete compressive strength</t>
  </si>
  <si>
    <t>Tella Firma Device</t>
  </si>
  <si>
    <t>height above soil (10" max)</t>
  </si>
  <si>
    <t>Bearing</t>
  </si>
  <si>
    <t>ACI Pier Design, 3-1</t>
  </si>
  <si>
    <t>ACI Pier Design, 3-5</t>
  </si>
  <si>
    <t>Uplift</t>
  </si>
  <si>
    <t>FS1</t>
  </si>
  <si>
    <t>Soil Bearing factor of safety</t>
  </si>
  <si>
    <t>FS2</t>
  </si>
  <si>
    <t>Side Resistence factor of safety</t>
  </si>
  <si>
    <t>Dead Load (max per pier from slab calc)</t>
  </si>
  <si>
    <t>lb</t>
  </si>
  <si>
    <t>lb/cft</t>
  </si>
  <si>
    <t>lb/sft</t>
  </si>
  <si>
    <t>ft</t>
  </si>
  <si>
    <t>Hp(max)</t>
  </si>
  <si>
    <t>max water head above bottom base of pier</t>
  </si>
  <si>
    <t>Hp(min)</t>
  </si>
  <si>
    <t>min water head above bottom base of pier</t>
  </si>
  <si>
    <t>ft/ft</t>
  </si>
  <si>
    <t>Wc</t>
  </si>
  <si>
    <t>Unit Weight of concrete</t>
  </si>
  <si>
    <t>n/a</t>
  </si>
  <si>
    <t>lb/sin</t>
  </si>
  <si>
    <t>Geometric Properties</t>
  </si>
  <si>
    <t>Ab (sft)</t>
  </si>
  <si>
    <t>gross area of pier base</t>
  </si>
  <si>
    <t>A0 (sft)</t>
  </si>
  <si>
    <t>embedded surface area</t>
  </si>
  <si>
    <t>dp/B (ft/ft)</t>
  </si>
  <si>
    <t>embedment length (use for Brom's graph)</t>
  </si>
  <si>
    <t>Limit (ϕXn)</t>
  </si>
  <si>
    <t>Output (Xu)</t>
  </si>
  <si>
    <t>ACI 318-19, 14.5 (14.5.2.1a controls)</t>
  </si>
  <si>
    <t>elastic section modulus (for tension or comp)</t>
  </si>
  <si>
    <t>Sm (cft)</t>
  </si>
  <si>
    <t>units</t>
  </si>
  <si>
    <t>lb*in</t>
  </si>
  <si>
    <t xml:space="preserve"> above/below ground ratio (Brom's graph)</t>
  </si>
  <si>
    <t>e/d (ft/ft)</t>
  </si>
  <si>
    <t>lb/lb</t>
  </si>
  <si>
    <t>Forces</t>
  </si>
  <si>
    <t>Dg (lb)</t>
  </si>
  <si>
    <t>self weight of pier</t>
  </si>
  <si>
    <t>Pup (lb)</t>
  </si>
  <si>
    <t>maximum uplift force</t>
  </si>
  <si>
    <t>Pq (lb)</t>
  </si>
  <si>
    <t>soil bearing capacity for pier</t>
  </si>
  <si>
    <t>Spl (lb)</t>
  </si>
  <si>
    <t>Soil Side Resistence</t>
  </si>
  <si>
    <t>V (cft)</t>
  </si>
  <si>
    <t>volume of pier</t>
  </si>
  <si>
    <t>Live Load (max per pier from slab calc)</t>
  </si>
  <si>
    <t>ACI 318-19, 14.5 (Table 14.5.5.1a controls)</t>
  </si>
  <si>
    <t>Pu/(SuB^2)</t>
  </si>
  <si>
    <t>From Chart</t>
  </si>
  <si>
    <t xml:space="preserve">Lateral force </t>
  </si>
  <si>
    <t>ACI 318-19 Table 14.5.4.1a</t>
  </si>
  <si>
    <t>ACI 318-19 Table 14.5.4.1b</t>
  </si>
  <si>
    <t>t</t>
  </si>
  <si>
    <t xml:space="preserve">Live Load </t>
  </si>
  <si>
    <t>spanx</t>
  </si>
  <si>
    <t>spany</t>
  </si>
  <si>
    <t>fy</t>
  </si>
  <si>
    <t>post tension steel yield strength</t>
  </si>
  <si>
    <t xml:space="preserve">fy </t>
  </si>
  <si>
    <t>reinforcing steel yield strength</t>
  </si>
  <si>
    <t>Ws</t>
  </si>
  <si>
    <t>unit weight of steel</t>
  </si>
  <si>
    <t>X-Direction</t>
  </si>
  <si>
    <t>Span 1</t>
  </si>
  <si>
    <t>Span 2</t>
  </si>
  <si>
    <t>Y-Direction</t>
  </si>
  <si>
    <t>Span Length</t>
  </si>
  <si>
    <t>Dimension</t>
  </si>
  <si>
    <t>Clear Span</t>
  </si>
  <si>
    <t>Uniform Load</t>
  </si>
  <si>
    <t>lb/ft</t>
  </si>
  <si>
    <t>lbft</t>
  </si>
  <si>
    <t>P</t>
  </si>
  <si>
    <t>precompression pressure</t>
  </si>
  <si>
    <t>PT clear</t>
  </si>
  <si>
    <t>in</t>
  </si>
  <si>
    <t>minimum cover on all PT cables</t>
  </si>
  <si>
    <t>slab thickness</t>
  </si>
  <si>
    <t>FEF</t>
  </si>
  <si>
    <t>effective force in tendons (bonded)</t>
  </si>
  <si>
    <t>Apt</t>
  </si>
  <si>
    <t>sin</t>
  </si>
  <si>
    <t>cross-section area of PT cable (0.5" diameter)</t>
  </si>
  <si>
    <t>alpha</t>
  </si>
  <si>
    <t>beta</t>
  </si>
  <si>
    <t>gamma</t>
  </si>
  <si>
    <t>direct design factor</t>
  </si>
  <si>
    <t>Ldrop</t>
  </si>
  <si>
    <t>Ltx (ft)</t>
  </si>
  <si>
    <t>Lty (ft)</t>
  </si>
  <si>
    <t>transverse width for spans in y direction</t>
  </si>
  <si>
    <t>transverse width for spans in x direction</t>
  </si>
  <si>
    <t>w (lb/ft)</t>
  </si>
  <si>
    <t xml:space="preserve"> Shear (face of drop)</t>
  </si>
  <si>
    <t>x</t>
  </si>
  <si>
    <t>maximum design drape</t>
  </si>
  <si>
    <t>PT length variable for spans in x direction</t>
  </si>
  <si>
    <t>PT length variable for spans in y direction</t>
  </si>
  <si>
    <t>a (ft)</t>
  </si>
  <si>
    <t>cx (ft)</t>
  </si>
  <si>
    <t>cy (ft)</t>
  </si>
  <si>
    <t>wb/DL</t>
  </si>
  <si>
    <t>wDL (lb/ft)</t>
  </si>
  <si>
    <t>Px (lb)</t>
  </si>
  <si>
    <t>Py (lb)</t>
  </si>
  <si>
    <t>wd (lb/ft)</t>
  </si>
  <si>
    <t>factored design load (1.4DL + HYP)</t>
  </si>
  <si>
    <t xml:space="preserve">x </t>
  </si>
  <si>
    <t>Dex</t>
  </si>
  <si>
    <t>Dey</t>
  </si>
  <si>
    <t>Length of cantilevered edge in y direction (from column line)</t>
  </si>
  <si>
    <t>Length of cantilevered edge in x direction (from column line)</t>
  </si>
  <si>
    <t>length of span in x direction (column line to column line)</t>
  </si>
  <si>
    <t>length of span in y direction (column line to column line)</t>
  </si>
  <si>
    <t>Dead Load (including self weight of slab)</t>
  </si>
  <si>
    <t>V max (face of drop)</t>
  </si>
  <si>
    <t>M max (center span)</t>
  </si>
  <si>
    <t>service deflections</t>
  </si>
  <si>
    <t>Slab Mu</t>
  </si>
  <si>
    <t>Slab Punching Shear</t>
  </si>
  <si>
    <t>Percent Mmax to col strip</t>
  </si>
  <si>
    <t>M max middle strip</t>
  </si>
  <si>
    <t>Design Outputs</t>
  </si>
  <si>
    <t>tdrop</t>
  </si>
  <si>
    <t>thickness of drop panel</t>
  </si>
  <si>
    <t>PT strands per span</t>
  </si>
  <si>
    <t xml:space="preserve"> +Mu (face of column)</t>
  </si>
  <si>
    <t xml:space="preserve"> Shear (face of column)</t>
  </si>
  <si>
    <t>V max (face of column)</t>
  </si>
  <si>
    <t>M max (face of column)</t>
  </si>
  <si>
    <t xml:space="preserve"> -Mu (center span)</t>
  </si>
  <si>
    <t>M max column strip (slab)</t>
  </si>
  <si>
    <t>fraction</t>
  </si>
  <si>
    <t>Area of PT steel</t>
  </si>
  <si>
    <t>average depth of PT steel (assumed avg of all steel)</t>
  </si>
  <si>
    <t>davg (ft)</t>
  </si>
  <si>
    <t>Design Output</t>
  </si>
  <si>
    <t>Length of Pier</t>
  </si>
  <si>
    <t>Diameter of Pier</t>
  </si>
  <si>
    <t>Pier Design Dead Load</t>
  </si>
  <si>
    <t>Pier Design Live Load</t>
  </si>
  <si>
    <t>Avg PT Load</t>
  </si>
  <si>
    <t>Sw</t>
  </si>
  <si>
    <t>selfweight of slab</t>
  </si>
  <si>
    <t>DLT</t>
  </si>
  <si>
    <t>Super Imposed dead load</t>
  </si>
  <si>
    <t>perimeter of zone d/2 away from drop cap</t>
  </si>
  <si>
    <t>Limit (ΦXn)</t>
  </si>
  <si>
    <t>Concrete Lecture 14</t>
  </si>
  <si>
    <t>b0 (ft)</t>
  </si>
  <si>
    <t>fps</t>
  </si>
  <si>
    <t>ADEPT PPT, step 7</t>
  </si>
  <si>
    <t>a(moment) (ft)</t>
  </si>
  <si>
    <t>depth of concrete in compression</t>
  </si>
  <si>
    <t>Mn controlled by tension, derived from concrete beam design</t>
  </si>
  <si>
    <t>Min reinforcing per span</t>
  </si>
  <si>
    <t>ADEPT PPT - Total deflections, step 4, longterm deflections</t>
  </si>
  <si>
    <t>Ig (in^4)</t>
  </si>
  <si>
    <t>gross moment of inertia/foot of slab (assuming uncracked slab)</t>
  </si>
  <si>
    <t>Ec (psi)</t>
  </si>
  <si>
    <t>elastic modulus for deflections</t>
  </si>
  <si>
    <t xml:space="preserve">deltaDL </t>
  </si>
  <si>
    <t xml:space="preserve">deltaLL </t>
  </si>
  <si>
    <t>factor for deflections (multiply by w and L^4)</t>
  </si>
  <si>
    <t>Service Stress (compression)</t>
  </si>
  <si>
    <t>compression distance to neutral axis</t>
  </si>
  <si>
    <t>c(comp)(in)</t>
  </si>
  <si>
    <t>Section modulus per foot of slab (compression)</t>
  </si>
  <si>
    <t>Sc(cin)</t>
  </si>
  <si>
    <t>width of square drop panel (total width, both sides of CL)</t>
  </si>
  <si>
    <t>Excess rebar (col strip, As = Mu/4d)</t>
  </si>
  <si>
    <t>Excess rebar (mid strip, As = Mu/4d)</t>
  </si>
  <si>
    <t>excess rebar per span (col strip)</t>
  </si>
  <si>
    <t>excess rebar per span (mid strip)</t>
  </si>
  <si>
    <t>development length</t>
  </si>
  <si>
    <t>full bot.</t>
  </si>
  <si>
    <t>Yc(reinf)(in)</t>
  </si>
  <si>
    <t>perpend. distance from neutral axis to reinforcing</t>
  </si>
  <si>
    <t>link to paper</t>
  </si>
  <si>
    <t>balancing load (+wb)</t>
  </si>
  <si>
    <t>factored design load (1.2DL + 1.6LL)</t>
  </si>
  <si>
    <t>FEFi (lb)</t>
  </si>
  <si>
    <t>FEF (lb)</t>
  </si>
  <si>
    <t>Service force pulled by each tendon</t>
  </si>
  <si>
    <t>Initial Force pulled by each tendon</t>
  </si>
  <si>
    <t>Direct Design Factors</t>
  </si>
  <si>
    <t>Mox (Uniform)</t>
  </si>
  <si>
    <t>Mox (Balancing)</t>
  </si>
  <si>
    <t xml:space="preserve"> + MSec (face of column)</t>
  </si>
  <si>
    <t xml:space="preserve"> + MSec (center span)</t>
  </si>
  <si>
    <t>Tendon eccentricity</t>
  </si>
  <si>
    <t>Precompression Force in x direction per ft of slab</t>
  </si>
  <si>
    <t>Precompression Force in y direction per ft of slab</t>
  </si>
  <si>
    <t>Strength</t>
  </si>
  <si>
    <t>f'ci</t>
  </si>
  <si>
    <t>concrete compressive strength at time of initial stressing</t>
  </si>
  <si>
    <t>Slab Mu Strength</t>
  </si>
  <si>
    <t>Initial Stressing Transfer</t>
  </si>
  <si>
    <t>Material Costs</t>
  </si>
  <si>
    <t xml:space="preserve"> CY</t>
  </si>
  <si>
    <t>ton</t>
  </si>
  <si>
    <t>CY</t>
  </si>
  <si>
    <t>device</t>
  </si>
  <si>
    <t>Cost Per</t>
  </si>
  <si>
    <t>Item Cost</t>
  </si>
  <si>
    <t>Labor Costs</t>
  </si>
  <si>
    <t>Sum</t>
  </si>
  <si>
    <t>manhour</t>
  </si>
  <si>
    <t>day</t>
  </si>
  <si>
    <t>0.5" PT Cables</t>
  </si>
  <si>
    <t>Costs Saved</t>
  </si>
  <si>
    <t>Total Sum of Tella Firma</t>
  </si>
  <si>
    <t>formwork</t>
  </si>
  <si>
    <t>standard rebar</t>
  </si>
  <si>
    <t>Site Preparation</t>
  </si>
  <si>
    <t>Pier Rebar</t>
  </si>
  <si>
    <t>square foot</t>
  </si>
  <si>
    <t>Total Savings (Dissavings) Of Tella Firma System</t>
  </si>
  <si>
    <t>W</t>
  </si>
  <si>
    <t>Lx</t>
  </si>
  <si>
    <t>Ly</t>
  </si>
  <si>
    <t>length of foundation footprint in x directon</t>
  </si>
  <si>
    <t>length of foundation footprint in y directon</t>
  </si>
  <si>
    <t>Piers in X direction</t>
  </si>
  <si>
    <t>Piers in Y direction</t>
  </si>
  <si>
    <t>wind load (16 psf * side area of house)</t>
  </si>
  <si>
    <t xml:space="preserve">Concrete = </t>
  </si>
  <si>
    <t xml:space="preserve">Slab Volume </t>
  </si>
  <si>
    <t>(cft)</t>
  </si>
  <si>
    <t xml:space="preserve"> - slab rein. +</t>
  </si>
  <si>
    <t>PT (cft)</t>
  </si>
  <si>
    <t>Slab Reinforcing</t>
  </si>
  <si>
    <t>Bar Type</t>
  </si>
  <si>
    <t>c/s area (sin)</t>
  </si>
  <si>
    <t>lb / ft</t>
  </si>
  <si>
    <t>Total Length Needed (ft)</t>
  </si>
  <si>
    <t>total vol. (cft)</t>
  </si>
  <si>
    <t>total weight (lb)</t>
  </si>
  <si>
    <t>sum</t>
  </si>
  <si>
    <t>reinforcing</t>
  </si>
  <si>
    <t># of Piers * (Pier Concrete</t>
  </si>
  <si>
    <t xml:space="preserve"> - Reinforcing Area)</t>
  </si>
  <si>
    <t>cft</t>
  </si>
  <si>
    <t>Slab Rebar</t>
  </si>
  <si>
    <t>Pier Reinforcing</t>
  </si>
  <si>
    <t>unfactored design load (DL only) (for PT check)</t>
  </si>
  <si>
    <t>multiplier</t>
  </si>
  <si>
    <t>Weighted Cost of Tella Firma</t>
  </si>
  <si>
    <t>days tied up</t>
  </si>
  <si>
    <t>Cost of Money</t>
  </si>
  <si>
    <t>based on 30 year mortgage</t>
  </si>
  <si>
    <t>Service stress (tension)</t>
  </si>
  <si>
    <t>Service stress strength (tension)</t>
  </si>
  <si>
    <t>Just Calculations for some of the checks</t>
  </si>
  <si>
    <t>Initial Stressing Moment</t>
  </si>
  <si>
    <t>Pix (lb)</t>
  </si>
  <si>
    <t>Piy (lb)</t>
  </si>
  <si>
    <t>Precompression force in x at time of transfer (per ft of slab)</t>
  </si>
  <si>
    <t>Precompression force in y at time of transfer (per ft of slab)</t>
  </si>
  <si>
    <t>Initial Stressing Load</t>
  </si>
  <si>
    <t>Standard foundation rebar</t>
  </si>
  <si>
    <t>Truck-Mounted Auger</t>
  </si>
  <si>
    <t>Total length of PT strands</t>
  </si>
  <si>
    <t>5 man crew</t>
  </si>
  <si>
    <t>5 Man Crew</t>
  </si>
  <si>
    <t>*days needed to complete typical foundation</t>
  </si>
  <si>
    <t>Tella Firma Foundation</t>
  </si>
  <si>
    <t>Traditional Foundation</t>
  </si>
  <si>
    <t>days</t>
  </si>
  <si>
    <t>Site Work</t>
  </si>
  <si>
    <t>Drill Piers</t>
  </si>
  <si>
    <t>Place Piers and Lifting Mechanisms</t>
  </si>
  <si>
    <t>Form Slab and Install Rebar</t>
  </si>
  <si>
    <t>Pour Slab</t>
  </si>
  <si>
    <t>Let Slab Cure</t>
  </si>
  <si>
    <t>Stress PT Cables</t>
  </si>
  <si>
    <t>*</t>
  </si>
  <si>
    <t>can be decreased with use of helical piers</t>
  </si>
  <si>
    <t>Lift Foundation</t>
  </si>
  <si>
    <t xml:space="preserve">total = </t>
  </si>
  <si>
    <t>3 bays</t>
  </si>
  <si>
    <t>4 bays</t>
  </si>
  <si>
    <t>Combined flexure / axial a</t>
  </si>
  <si>
    <t>Combined flexure / axial b</t>
  </si>
  <si>
    <t>Axial Steel / Pier</t>
  </si>
  <si>
    <t>Gross Pier Vol.</t>
  </si>
  <si>
    <t>Opportunity Cost</t>
  </si>
  <si>
    <t>Standard foundation concrete</t>
  </si>
  <si>
    <t>Overexcavation</t>
  </si>
  <si>
    <t>slab concrete</t>
  </si>
  <si>
    <t>Pier concrete</t>
  </si>
  <si>
    <t>Site Prep</t>
  </si>
  <si>
    <t>Rebar</t>
  </si>
  <si>
    <t>TF Devices</t>
  </si>
  <si>
    <t>Auger</t>
  </si>
  <si>
    <t>Over-Ex</t>
  </si>
  <si>
    <t>Tella Firma</t>
  </si>
  <si>
    <t>Total Cost</t>
  </si>
  <si>
    <t>Swell Soil Tensile strain (Pswell = 2500 psf)</t>
  </si>
  <si>
    <t>*based on empirical formula 100*PI - 1000 psf</t>
  </si>
  <si>
    <t>Pswell (lb)</t>
  </si>
  <si>
    <t>Home: Trails Edge Duplex</t>
  </si>
  <si>
    <t>Estimate by: MLN</t>
  </si>
  <si>
    <t>Estimate on: 4/23/20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</si>
</sst>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0000"/>
  </numFmts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12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/>
    <xf numFmtId="0" fontId="1" fillId="0" borderId="0" xfId="1"/>
    <xf numFmtId="0" fontId="0" fillId="0" borderId="0" xfId="0" applyFill="1"/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Border="1"/>
    <xf numFmtId="3" fontId="0" fillId="0" borderId="0" xfId="0" applyNumberFormat="1" applyFill="1"/>
    <xf numFmtId="0" fontId="0" fillId="2" borderId="2" xfId="0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Fill="1"/>
    <xf numFmtId="0" fontId="0" fillId="0" borderId="0" xfId="0" applyFill="1" applyBorder="1"/>
    <xf numFmtId="0" fontId="2" fillId="0" borderId="0" xfId="0" applyFont="1"/>
    <xf numFmtId="0" fontId="0" fillId="0" borderId="0" xfId="0" applyFont="1"/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3" fontId="0" fillId="0" borderId="0" xfId="0" applyNumberFormat="1" applyBorder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0" borderId="7" xfId="0" applyBorder="1"/>
    <xf numFmtId="0" fontId="0" fillId="0" borderId="1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6" borderId="0" xfId="0" applyFill="1"/>
    <xf numFmtId="0" fontId="0" fillId="6" borderId="0" xfId="0" applyFill="1" applyAlignment="1"/>
    <xf numFmtId="0" fontId="0" fillId="7" borderId="0" xfId="0" applyFill="1"/>
    <xf numFmtId="0" fontId="0" fillId="8" borderId="9" xfId="0" applyFill="1" applyBorder="1"/>
    <xf numFmtId="44" fontId="0" fillId="0" borderId="0" xfId="2" applyFont="1"/>
    <xf numFmtId="44" fontId="0" fillId="0" borderId="9" xfId="2" applyFont="1" applyBorder="1"/>
    <xf numFmtId="44" fontId="0" fillId="0" borderId="1" xfId="2" applyFont="1" applyBorder="1"/>
    <xf numFmtId="44" fontId="0" fillId="8" borderId="9" xfId="2" applyFont="1" applyFill="1" applyBorder="1"/>
    <xf numFmtId="0" fontId="1" fillId="0" borderId="0" xfId="1" applyNumberFormat="1"/>
    <xf numFmtId="44" fontId="0" fillId="8" borderId="9" xfId="0" applyNumberFormat="1" applyFill="1" applyBorder="1"/>
    <xf numFmtId="0" fontId="0" fillId="9" borderId="0" xfId="0" applyFill="1"/>
    <xf numFmtId="1" fontId="0" fillId="0" borderId="0" xfId="0" applyNumberFormat="1"/>
    <xf numFmtId="44" fontId="0" fillId="0" borderId="0" xfId="0" applyNumberFormat="1"/>
    <xf numFmtId="44" fontId="0" fillId="0" borderId="1" xfId="0" applyNumberFormat="1" applyBorder="1"/>
    <xf numFmtId="0" fontId="0" fillId="0" borderId="0" xfId="0" applyAlignment="1"/>
    <xf numFmtId="0" fontId="5" fillId="0" borderId="0" xfId="0" applyFont="1"/>
    <xf numFmtId="0" fontId="0" fillId="0" borderId="8" xfId="0" applyBorder="1"/>
    <xf numFmtId="0" fontId="1" fillId="0" borderId="0" xfId="1" applyFill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3" xfId="0" applyFont="1" applyBorder="1"/>
    <xf numFmtId="0" fontId="0" fillId="0" borderId="15" xfId="0" applyFont="1" applyBorder="1"/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10" borderId="0" xfId="0" applyFill="1"/>
    <xf numFmtId="0" fontId="0" fillId="11" borderId="0" xfId="0" applyFill="1"/>
    <xf numFmtId="0" fontId="0" fillId="0" borderId="0" xfId="0" applyAlignment="1">
      <alignment vertical="top"/>
    </xf>
    <xf numFmtId="0" fontId="0" fillId="11" borderId="2" xfId="0" applyFill="1" applyBorder="1"/>
    <xf numFmtId="0" fontId="0" fillId="10" borderId="2" xfId="0" applyFill="1" applyBorder="1"/>
    <xf numFmtId="0" fontId="3" fillId="0" borderId="2" xfId="0" applyFont="1" applyBorder="1"/>
    <xf numFmtId="0" fontId="3" fillId="10" borderId="2" xfId="0" applyFont="1" applyFill="1" applyBorder="1"/>
    <xf numFmtId="164" fontId="0" fillId="0" borderId="1" xfId="2" applyNumberFormat="1" applyFont="1" applyBorder="1" applyAlignment="1">
      <alignment horizontal="right"/>
    </xf>
    <xf numFmtId="165" fontId="0" fillId="0" borderId="0" xfId="0" applyNumberFormat="1"/>
    <xf numFmtId="2" fontId="0" fillId="0" borderId="0" xfId="0" applyNumberFormat="1"/>
    <xf numFmtId="1" fontId="0" fillId="0" borderId="0" xfId="0" applyNumberFormat="1" applyAlignment="1">
      <alignment horizontal="center"/>
    </xf>
    <xf numFmtId="1" fontId="0" fillId="0" borderId="2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12" borderId="0" xfId="0" applyFill="1"/>
    <xf numFmtId="0" fontId="0" fillId="0" borderId="2" xfId="0" applyFill="1" applyBorder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 applyProtection="1">
      <alignment horizontal="center"/>
    </xf>
    <xf numFmtId="0" fontId="0" fillId="5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14">
    <dxf>
      <font>
        <color rgb="FFFF0000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D6900"/>
      <color rgb="FF945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Comparison</a:t>
            </a:r>
            <a:r>
              <a:rPr lang="en-US" baseline="0"/>
              <a:t> Breakdown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'Cost Analysis'!$W$5</c:f>
              <c:strCache>
                <c:ptCount val="1"/>
                <c:pt idx="0">
                  <c:v>Tella Firma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'Cost Analysis'!$V$6:$V$14</c:f>
              <c:strCache>
                <c:ptCount val="9"/>
                <c:pt idx="0">
                  <c:v>Concrete</c:v>
                </c:pt>
                <c:pt idx="1">
                  <c:v>Site Prep</c:v>
                </c:pt>
                <c:pt idx="2">
                  <c:v>Rebar</c:v>
                </c:pt>
                <c:pt idx="3">
                  <c:v>TF Devices</c:v>
                </c:pt>
                <c:pt idx="4">
                  <c:v>Auger</c:v>
                </c:pt>
                <c:pt idx="5">
                  <c:v>Engineer</c:v>
                </c:pt>
                <c:pt idx="6">
                  <c:v>Labor</c:v>
                </c:pt>
                <c:pt idx="7">
                  <c:v>Opportunity Cost</c:v>
                </c:pt>
                <c:pt idx="8">
                  <c:v>Cost of Capital</c:v>
                </c:pt>
              </c:strCache>
            </c:strRef>
          </c:cat>
          <c:val>
            <c:numRef>
              <c:f>'Cost Analysis'!$W$6:$W$14</c:f>
              <c:numCache>
                <c:formatCode>_("$"* #,##0.00_);_("$"* \(#,##0.00\);_("$"* "-"??_);_(@_)</c:formatCode>
                <c:ptCount val="9"/>
                <c:pt idx="0">
                  <c:v>7560</c:v>
                </c:pt>
                <c:pt idx="1">
                  <c:v>3720</c:v>
                </c:pt>
                <c:pt idx="2">
                  <c:v>15098.1404</c:v>
                </c:pt>
                <c:pt idx="3">
                  <c:v>3500</c:v>
                </c:pt>
                <c:pt idx="4">
                  <c:v>2542</c:v>
                </c:pt>
                <c:pt idx="5">
                  <c:v>1200</c:v>
                </c:pt>
                <c:pt idx="6">
                  <c:v>8320</c:v>
                </c:pt>
                <c:pt idx="7">
                  <c:v>52.281544882191788</c:v>
                </c:pt>
                <c:pt idx="8">
                  <c:v>3359.3937555905759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EB-3546-86A4-045E48535A17}"/>
            </c:ext>
          </c:extLst>
        </c:ser>
        <c:ser>
          <c:idx val="1"/>
          <c:order val="1"/>
          <c:tx>
            <c:strRef>
              <c:f>'Cost Analysis'!$X$5</c:f>
              <c:strCache>
                <c:ptCount val="1"/>
                <c:pt idx="0">
                  <c:v>Over-Ex</c:v>
                </c:pt>
              </c:strCache>
            </c:strRef>
          </c:tx>
          <c:spPr>
            <a:solidFill>
              <a:srgbClr val="BD6900"/>
            </a:solidFill>
            <a:ln>
              <a:noFill/>
            </a:ln>
            <a:effectLst/>
          </c:spPr>
          <c:invertIfNegative val="0"/>
          <c:cat>
            <c:strRef>
              <c:f>'Cost Analysis'!$V$6:$V$14</c:f>
              <c:strCache>
                <c:ptCount val="9"/>
                <c:pt idx="0">
                  <c:v>Concrete</c:v>
                </c:pt>
                <c:pt idx="1">
                  <c:v>Site Prep</c:v>
                </c:pt>
                <c:pt idx="2">
                  <c:v>Rebar</c:v>
                </c:pt>
                <c:pt idx="3">
                  <c:v>TF Devices</c:v>
                </c:pt>
                <c:pt idx="4">
                  <c:v>Auger</c:v>
                </c:pt>
                <c:pt idx="5">
                  <c:v>Engineer</c:v>
                </c:pt>
                <c:pt idx="6">
                  <c:v>Labor</c:v>
                </c:pt>
                <c:pt idx="7">
                  <c:v>Opportunity Cost</c:v>
                </c:pt>
                <c:pt idx="8">
                  <c:v>Cost of Capital</c:v>
                </c:pt>
              </c:strCache>
            </c:strRef>
          </c:cat>
          <c:val>
            <c:numRef>
              <c:f>'Cost Analysis'!$X$6:$X$14</c:f>
              <c:numCache>
                <c:formatCode>_("$"* #,##0.00_);_("$"* \(#,##0.00\);_("$"* "-"??_);_(@_)</c:formatCode>
                <c:ptCount val="9"/>
                <c:pt idx="0">
                  <c:v>6614.1</c:v>
                </c:pt>
                <c:pt idx="1">
                  <c:v>10185.202499999999</c:v>
                </c:pt>
                <c:pt idx="2">
                  <c:v>10913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>
                  <c:v>17920</c:v>
                </c:pt>
                <c:pt idx="7">
                  <c:v>918.89705034246583</c:v>
                </c:pt>
                <c:pt idx="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EB-3546-86A4-045E48535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1867055"/>
        <c:axId val="1173650239"/>
      </c:barChart>
      <c:catAx>
        <c:axId val="761867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3650239"/>
        <c:crosses val="autoZero"/>
        <c:auto val="1"/>
        <c:lblAlgn val="ctr"/>
        <c:lblOffset val="100"/>
        <c:noMultiLvlLbl val="0"/>
      </c:catAx>
      <c:valAx>
        <c:axId val="1173650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18670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20262552971421"/>
          <c:y val="0.8524526100904054"/>
          <c:w val="0.31899088324956149"/>
          <c:h val="0.119769612131816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1969588</xdr:colOff>
      <xdr:row>8</xdr:row>
      <xdr:rowOff>36879</xdr:rowOff>
    </xdr:from>
    <xdr:to>
      <xdr:col>17</xdr:col>
      <xdr:colOff>275167</xdr:colOff>
      <xdr:row>39</xdr:row>
      <xdr:rowOff>5667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9CEDFD-6AF0-4944-8D8B-13037C0E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50000"/>
        </a:blip>
        <a:stretch>
          <a:fillRect/>
        </a:stretch>
      </xdr:blipFill>
      <xdr:spPr>
        <a:xfrm>
          <a:off x="12662988" y="1459279"/>
          <a:ext cx="5269412" cy="6267988"/>
        </a:xfrm>
        <a:prstGeom prst="rect">
          <a:avLst/>
        </a:prstGeom>
      </xdr:spPr>
    </xdr:pic>
    <xdr:clientData/>
  </xdr:twoCellAnchor>
  <xdr:twoCellAnchor>
    <xdr:from>
      <xdr:col>3</xdr:col>
      <xdr:colOff>2590800</xdr:colOff>
      <xdr:row>15</xdr:row>
      <xdr:rowOff>0</xdr:rowOff>
    </xdr:from>
    <xdr:to>
      <xdr:col>10</xdr:col>
      <xdr:colOff>1507067</xdr:colOff>
      <xdr:row>27</xdr:row>
      <xdr:rowOff>16933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ACB356E6-FB49-6E4E-9144-501E240442E3}"/>
            </a:ext>
          </a:extLst>
        </xdr:cNvPr>
        <xdr:cNvCxnSpPr/>
      </xdr:nvCxnSpPr>
      <xdr:spPr>
        <a:xfrm>
          <a:off x="5384800" y="3048000"/>
          <a:ext cx="7145867" cy="2455333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67734</xdr:colOff>
      <xdr:row>15</xdr:row>
      <xdr:rowOff>101600</xdr:rowOff>
    </xdr:from>
    <xdr:to>
      <xdr:col>10</xdr:col>
      <xdr:colOff>1969588</xdr:colOff>
      <xdr:row>23</xdr:row>
      <xdr:rowOff>122873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B19A21F8-EA8E-8946-9570-0CF6BF058943}"/>
            </a:ext>
          </a:extLst>
        </xdr:cNvPr>
        <xdr:cNvCxnSpPr>
          <a:stCxn id="2" idx="1"/>
        </xdr:cNvCxnSpPr>
      </xdr:nvCxnSpPr>
      <xdr:spPr>
        <a:xfrm flipH="1" flipV="1">
          <a:off x="9431867" y="3149600"/>
          <a:ext cx="3561321" cy="1646873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273051</xdr:colOff>
      <xdr:row>0</xdr:row>
      <xdr:rowOff>158750</xdr:rowOff>
    </xdr:from>
    <xdr:to>
      <xdr:col>12</xdr:col>
      <xdr:colOff>470374</xdr:colOff>
      <xdr:row>33</xdr:row>
      <xdr:rowOff>15679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314F8F2-2666-F84B-9296-421D7DE279C4}"/>
            </a:ext>
          </a:extLst>
        </xdr:cNvPr>
        <xdr:cNvSpPr txBox="1"/>
      </xdr:nvSpPr>
      <xdr:spPr>
        <a:xfrm rot="16200000">
          <a:off x="12774791" y="3351701"/>
          <a:ext cx="6583225" cy="1973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All Given Per Foot of Slab </a:t>
          </a:r>
          <a:endParaRPr lang="en-US" sz="1100" baseline="0"/>
        </a:p>
        <a:p>
          <a:pPr algn="ctr"/>
          <a:endParaRPr lang="en-US" sz="1100"/>
        </a:p>
      </xdr:txBody>
    </xdr:sp>
    <xdr:clientData/>
  </xdr:twoCellAnchor>
  <xdr:twoCellAnchor>
    <xdr:from>
      <xdr:col>11</xdr:col>
      <xdr:colOff>224055</xdr:colOff>
      <xdr:row>21</xdr:row>
      <xdr:rowOff>72438</xdr:rowOff>
    </xdr:from>
    <xdr:to>
      <xdr:col>12</xdr:col>
      <xdr:colOff>22737</xdr:colOff>
      <xdr:row>33</xdr:row>
      <xdr:rowOff>59737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52A2CE7-3625-1844-825F-D340FA3DA6E8}"/>
            </a:ext>
          </a:extLst>
        </xdr:cNvPr>
        <xdr:cNvSpPr txBox="1"/>
      </xdr:nvSpPr>
      <xdr:spPr>
        <a:xfrm rot="16200000">
          <a:off x="14272215" y="5340821"/>
          <a:ext cx="24332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Positive</a:t>
          </a:r>
          <a:r>
            <a:rPr lang="en-US" sz="1100" baseline="0"/>
            <a:t> V = acting upwards</a:t>
          </a:r>
        </a:p>
        <a:p>
          <a:r>
            <a:rPr lang="en-US" sz="1100"/>
            <a:t>Positive M = turning</a:t>
          </a:r>
          <a:r>
            <a:rPr lang="en-US" sz="1100" baseline="0"/>
            <a:t> slab to frown face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14941</xdr:colOff>
      <xdr:row>17</xdr:row>
      <xdr:rowOff>70224</xdr:rowOff>
    </xdr:from>
    <xdr:to>
      <xdr:col>27</xdr:col>
      <xdr:colOff>806824</xdr:colOff>
      <xdr:row>30</xdr:row>
      <xdr:rowOff>94130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EC616B2-F478-D940-9BD8-F603CA465E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eb.mst.edu/~rogersda/expansive_soils/Various%20Aspects%20of%20Expansive%20Soils.pdf" TargetMode="External"/><Relationship Id="rId2" Type="http://schemas.openxmlformats.org/officeDocument/2006/relationships/hyperlink" Target="http://yadda.icm.edu.pl/yadda/element/bwmeta1.element.baztech-4191efde-a6be-414e-b9af-e52190ad9b3d/c/Wrana-2015-4.pdf" TargetMode="External"/><Relationship Id="rId1" Type="http://schemas.openxmlformats.org/officeDocument/2006/relationships/hyperlink" Target="https://udocivil678.files.wordpress.com/2010/07/diseno-yconstruccion-de-pilas-excavadas-aci-3363r_93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pt-structures.com/wp-content/uploads/2010/08/10-Steps_PT_Floor_Design_US_version1.pdf" TargetMode="External"/><Relationship Id="rId2" Type="http://schemas.openxmlformats.org/officeDocument/2006/relationships/hyperlink" Target="http://pt-structures.com/wp-content/uploads/2010/08/10-Steps_PT_Floor_Design_US_version1.pdf" TargetMode="External"/><Relationship Id="rId1" Type="http://schemas.openxmlformats.org/officeDocument/2006/relationships/hyperlink" Target="http://pt-structures.com/wp-content/uploads/2010/08/10-Steps_PT_Floor_Design_US_version1.pdf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://pt-structures.com/wp-content/uploads/2010/08/10-Steps_PT_Floor_Design_US_version1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mprovenet.com/r/costs-and-prices/rebar-cost-estimator" TargetMode="External"/><Relationship Id="rId3" Type="http://schemas.openxmlformats.org/officeDocument/2006/relationships/hyperlink" Target="https://www.kompareit.com/homeandgarden/developers-engineers-land-prep.html" TargetMode="External"/><Relationship Id="rId7" Type="http://schemas.openxmlformats.org/officeDocument/2006/relationships/hyperlink" Target="https://www.slideshare.net/KeithDaggett/estimating-systems-for-homes1-53853672" TargetMode="External"/><Relationship Id="rId12" Type="http://schemas.openxmlformats.org/officeDocument/2006/relationships/drawing" Target="../drawings/drawing3.xml"/><Relationship Id="rId2" Type="http://schemas.openxmlformats.org/officeDocument/2006/relationships/hyperlink" Target="https://www.thebalancesmb.com/factors-that-might-affect-estimates-and-concrete-pricing-844540" TargetMode="External"/><Relationship Id="rId1" Type="http://schemas.openxmlformats.org/officeDocument/2006/relationships/hyperlink" Target="https://homeguide.com/costs/concrete-prices" TargetMode="External"/><Relationship Id="rId6" Type="http://schemas.openxmlformats.org/officeDocument/2006/relationships/hyperlink" Target="https://www.homeadvisor.com/cost/architects-and-engineers/hire-an-engineer/" TargetMode="External"/><Relationship Id="rId11" Type="http://schemas.openxmlformats.org/officeDocument/2006/relationships/hyperlink" Target="https://www.salary.com/research/salary/listing/concrete-laborer-hourly-wages" TargetMode="External"/><Relationship Id="rId5" Type="http://schemas.openxmlformats.org/officeDocument/2006/relationships/hyperlink" Target="https://www.rsmeansonline.com/References/FMR/2015/Equipment-Rentals-2015.pdf" TargetMode="External"/><Relationship Id="rId10" Type="http://schemas.openxmlformats.org/officeDocument/2006/relationships/hyperlink" Target="https://www.ruralcoproperty.com.au/2016/04/15/a-typical-timeline-for-how-long-it-takes-to-build-a-new-home/" TargetMode="External"/><Relationship Id="rId4" Type="http://schemas.openxmlformats.org/officeDocument/2006/relationships/hyperlink" Target="https://investinganswers.com/dictionary/c/cost-capital" TargetMode="External"/><Relationship Id="rId9" Type="http://schemas.openxmlformats.org/officeDocument/2006/relationships/hyperlink" Target="https://plummersdisposal.com/wp-content/uploads/2018/04/new-loss_revenu-Avg_numb_workers_construction_site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llafirma.com/wp-content/uploads/2018/07/Helical-Product-Brochure-COMMERCIAL-19-JUL-2018.pdf" TargetMode="External"/><Relationship Id="rId2" Type="http://schemas.openxmlformats.org/officeDocument/2006/relationships/hyperlink" Target="https://www.google.com/url?sa=t&amp;rct=j&amp;q=&amp;esrc=s&amp;source=web&amp;cd=5&amp;cad=rja&amp;uact=8&amp;ved=2ahUKEwiIk626yLToAhXUgnIEHcfXCXoQtwIwBHoECAwQAQ&amp;url=https%3A%2F%2Fwww.youtube.com%2Fwatch%3Fv%3D1H3ES7Yawf4&amp;usg=AOvVaw1TvoXrK8_Cnk-Gs8uKEibI" TargetMode="External"/><Relationship Id="rId1" Type="http://schemas.openxmlformats.org/officeDocument/2006/relationships/hyperlink" Target="https://www.katahdincedarloghomes.com/education/building-guide/site-prepar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E08E6-4BD1-C74D-8A6F-C55E558FC2E6}">
  <dimension ref="A1:N45"/>
  <sheetViews>
    <sheetView zoomScale="75" zoomScaleNormal="87" workbookViewId="0">
      <selection activeCell="G44" sqref="G44"/>
    </sheetView>
  </sheetViews>
  <sheetFormatPr baseColWidth="10" defaultRowHeight="16" x14ac:dyDescent="0.2"/>
  <cols>
    <col min="1" max="1" width="14.83203125" customWidth="1"/>
    <col min="4" max="4" width="39.1640625" customWidth="1"/>
    <col min="8" max="8" width="14.5" customWidth="1"/>
    <col min="11" max="11" width="26.83203125" customWidth="1"/>
    <col min="13" max="13" width="10.5" customWidth="1"/>
    <col min="14" max="14" width="10.83203125" customWidth="1"/>
  </cols>
  <sheetData>
    <row r="1" spans="1:14" x14ac:dyDescent="0.2">
      <c r="A1" s="1" t="s">
        <v>33</v>
      </c>
      <c r="B1" s="1" t="s">
        <v>4</v>
      </c>
      <c r="C1" s="1" t="s">
        <v>34</v>
      </c>
      <c r="D1" s="1" t="s">
        <v>39</v>
      </c>
      <c r="H1" s="1" t="s">
        <v>48</v>
      </c>
      <c r="I1" s="1" t="s">
        <v>49</v>
      </c>
      <c r="J1" s="1" t="s">
        <v>34</v>
      </c>
      <c r="K1" s="1" t="s">
        <v>39</v>
      </c>
    </row>
    <row r="2" spans="1:14" x14ac:dyDescent="0.2">
      <c r="A2" t="s">
        <v>35</v>
      </c>
      <c r="B2" t="s">
        <v>69</v>
      </c>
      <c r="C2">
        <f>'Slab Design'!P54</f>
        <v>36015</v>
      </c>
      <c r="D2" t="s">
        <v>68</v>
      </c>
      <c r="H2" s="6" t="s">
        <v>50</v>
      </c>
      <c r="I2" s="6" t="s">
        <v>72</v>
      </c>
      <c r="J2" s="6">
        <v>1.75</v>
      </c>
      <c r="K2" t="s">
        <v>54</v>
      </c>
    </row>
    <row r="3" spans="1:14" x14ac:dyDescent="0.2">
      <c r="A3" t="s">
        <v>36</v>
      </c>
      <c r="B3" t="s">
        <v>69</v>
      </c>
      <c r="C3">
        <f>'Slab Design'!P55</f>
        <v>25480</v>
      </c>
      <c r="D3" t="s">
        <v>110</v>
      </c>
      <c r="H3" t="s">
        <v>51</v>
      </c>
      <c r="I3" t="s">
        <v>72</v>
      </c>
      <c r="J3">
        <f>10/12</f>
        <v>0.83333333333333337</v>
      </c>
      <c r="K3" t="s">
        <v>59</v>
      </c>
    </row>
    <row r="4" spans="1:14" x14ac:dyDescent="0.2">
      <c r="A4" t="s">
        <v>37</v>
      </c>
      <c r="B4" t="s">
        <v>70</v>
      </c>
      <c r="C4">
        <f>62.4</f>
        <v>62.4</v>
      </c>
      <c r="D4" t="s">
        <v>38</v>
      </c>
      <c r="H4" s="6" t="s">
        <v>52</v>
      </c>
      <c r="I4" s="6" t="s">
        <v>72</v>
      </c>
      <c r="J4" s="6">
        <v>20</v>
      </c>
      <c r="K4" t="s">
        <v>53</v>
      </c>
    </row>
    <row r="5" spans="1:14" x14ac:dyDescent="0.2">
      <c r="A5" t="s">
        <v>40</v>
      </c>
      <c r="B5" t="s">
        <v>71</v>
      </c>
      <c r="C5" s="5">
        <v>20000</v>
      </c>
      <c r="D5" t="s">
        <v>41</v>
      </c>
      <c r="H5" t="s">
        <v>55</v>
      </c>
      <c r="I5" t="s">
        <v>81</v>
      </c>
      <c r="J5">
        <v>3000</v>
      </c>
      <c r="K5" t="s">
        <v>57</v>
      </c>
    </row>
    <row r="6" spans="1:14" x14ac:dyDescent="0.2">
      <c r="A6" t="s">
        <v>42</v>
      </c>
      <c r="B6" t="s">
        <v>71</v>
      </c>
      <c r="C6" s="5">
        <v>2000</v>
      </c>
      <c r="D6" s="4" t="s">
        <v>43</v>
      </c>
      <c r="H6" t="s">
        <v>283</v>
      </c>
      <c r="I6" t="s">
        <v>69</v>
      </c>
      <c r="J6">
        <v>28800</v>
      </c>
      <c r="K6" t="s">
        <v>290</v>
      </c>
    </row>
    <row r="7" spans="1:14" x14ac:dyDescent="0.2">
      <c r="A7" t="s">
        <v>75</v>
      </c>
      <c r="B7" t="s">
        <v>72</v>
      </c>
      <c r="C7" s="5">
        <v>0</v>
      </c>
      <c r="D7" t="s">
        <v>76</v>
      </c>
      <c r="H7" s="5" t="s">
        <v>56</v>
      </c>
      <c r="I7" s="5" t="s">
        <v>69</v>
      </c>
      <c r="J7" s="5">
        <f>J6*1.7/(ROUNDDOWN('Slab Design'!P56,0)*ROUNDDOWN('Slab Design'!P57,0))</f>
        <v>2448</v>
      </c>
      <c r="K7" t="s">
        <v>114</v>
      </c>
    </row>
    <row r="8" spans="1:14" x14ac:dyDescent="0.2">
      <c r="A8" t="s">
        <v>73</v>
      </c>
      <c r="B8" t="s">
        <v>72</v>
      </c>
      <c r="C8" s="5">
        <f>J4</f>
        <v>20</v>
      </c>
      <c r="D8" t="s">
        <v>74</v>
      </c>
      <c r="H8" t="s">
        <v>64</v>
      </c>
      <c r="I8" t="s">
        <v>80</v>
      </c>
      <c r="J8">
        <v>2</v>
      </c>
      <c r="K8" t="s">
        <v>65</v>
      </c>
    </row>
    <row r="9" spans="1:14" x14ac:dyDescent="0.2">
      <c r="A9" t="s">
        <v>44</v>
      </c>
      <c r="B9" t="s">
        <v>71</v>
      </c>
      <c r="C9" s="5">
        <v>1500</v>
      </c>
      <c r="D9" t="s">
        <v>45</v>
      </c>
      <c r="H9" t="s">
        <v>66</v>
      </c>
      <c r="I9" s="5" t="s">
        <v>80</v>
      </c>
      <c r="J9" s="5">
        <v>2</v>
      </c>
      <c r="K9" t="s">
        <v>67</v>
      </c>
    </row>
    <row r="10" spans="1:14" x14ac:dyDescent="0.2">
      <c r="A10" t="s">
        <v>46</v>
      </c>
      <c r="B10" t="s">
        <v>77</v>
      </c>
      <c r="C10" s="5">
        <v>1.1000000000000001</v>
      </c>
      <c r="D10" t="s">
        <v>47</v>
      </c>
      <c r="H10" t="s">
        <v>78</v>
      </c>
      <c r="I10" t="s">
        <v>70</v>
      </c>
      <c r="J10">
        <v>150</v>
      </c>
      <c r="K10" t="s">
        <v>79</v>
      </c>
      <c r="L10" s="8"/>
      <c r="M10" s="8"/>
      <c r="N10" s="8"/>
    </row>
    <row r="11" spans="1:14" x14ac:dyDescent="0.2">
      <c r="H11" t="s">
        <v>121</v>
      </c>
      <c r="I11" s="8" t="s">
        <v>81</v>
      </c>
      <c r="J11" s="23">
        <v>60000</v>
      </c>
      <c r="K11" s="8" t="s">
        <v>124</v>
      </c>
      <c r="L11" s="8"/>
      <c r="M11" s="8"/>
      <c r="N11" s="8"/>
    </row>
    <row r="12" spans="1:14" x14ac:dyDescent="0.2">
      <c r="A12" s="89" t="s">
        <v>82</v>
      </c>
      <c r="B12" s="89"/>
      <c r="C12" s="1" t="s">
        <v>34</v>
      </c>
      <c r="D12" s="1" t="s">
        <v>39</v>
      </c>
      <c r="H12" t="s">
        <v>125</v>
      </c>
      <c r="I12" s="15" t="s">
        <v>70</v>
      </c>
      <c r="J12" s="8">
        <v>490</v>
      </c>
      <c r="K12" s="15" t="s">
        <v>126</v>
      </c>
      <c r="L12" s="8"/>
      <c r="M12" s="8"/>
      <c r="N12" s="8"/>
    </row>
    <row r="13" spans="1:14" x14ac:dyDescent="0.2">
      <c r="A13" s="90" t="s">
        <v>83</v>
      </c>
      <c r="B13" s="90"/>
      <c r="C13">
        <f>3.141592*(J2/2)^2</f>
        <v>2.4052813749999999</v>
      </c>
      <c r="D13" t="s">
        <v>84</v>
      </c>
      <c r="I13" s="8"/>
      <c r="J13" s="8"/>
      <c r="K13" s="8"/>
      <c r="L13" s="8"/>
      <c r="M13" s="8"/>
      <c r="N13" s="8"/>
    </row>
    <row r="14" spans="1:14" x14ac:dyDescent="0.2">
      <c r="A14" s="90" t="s">
        <v>85</v>
      </c>
      <c r="B14" s="90"/>
      <c r="C14">
        <f>3.141592*(J2*J4)</f>
        <v>109.95572</v>
      </c>
      <c r="D14" t="s">
        <v>86</v>
      </c>
      <c r="I14" s="8"/>
      <c r="J14" s="8"/>
      <c r="K14" s="8"/>
      <c r="L14" s="8"/>
      <c r="M14" s="8"/>
      <c r="N14" s="8"/>
    </row>
    <row r="15" spans="1:14" x14ac:dyDescent="0.2">
      <c r="A15" s="90" t="s">
        <v>87</v>
      </c>
      <c r="B15" s="90"/>
      <c r="C15" s="6">
        <f>J4/J2</f>
        <v>11.428571428571429</v>
      </c>
      <c r="D15" t="s">
        <v>88</v>
      </c>
      <c r="F15" s="89" t="s">
        <v>113</v>
      </c>
      <c r="G15" s="89"/>
      <c r="H15" s="89"/>
      <c r="I15" s="8"/>
      <c r="J15" s="8"/>
      <c r="K15" s="8"/>
      <c r="L15" s="8"/>
      <c r="M15" s="8"/>
      <c r="N15" s="8"/>
    </row>
    <row r="16" spans="1:14" x14ac:dyDescent="0.2">
      <c r="A16" s="90" t="s">
        <v>97</v>
      </c>
      <c r="B16" s="90"/>
      <c r="C16" s="6">
        <f>J3/J2</f>
        <v>0.47619047619047622</v>
      </c>
      <c r="D16" t="s">
        <v>96</v>
      </c>
      <c r="F16" s="6" t="s">
        <v>112</v>
      </c>
      <c r="G16" s="6" t="s">
        <v>98</v>
      </c>
      <c r="H16" s="6">
        <v>22</v>
      </c>
      <c r="I16" s="8"/>
      <c r="J16" s="8"/>
      <c r="K16" s="8"/>
      <c r="L16" s="8"/>
      <c r="M16" s="8"/>
      <c r="N16" s="8"/>
    </row>
    <row r="17" spans="1:14" x14ac:dyDescent="0.2">
      <c r="A17" s="90" t="s">
        <v>93</v>
      </c>
      <c r="B17" s="90"/>
      <c r="C17">
        <f>(2/J2)*(0.25*3.141592*(J2/2)^4)</f>
        <v>0.52615530078124995</v>
      </c>
      <c r="D17" t="s">
        <v>92</v>
      </c>
      <c r="I17" s="8"/>
      <c r="J17" s="8"/>
      <c r="K17" s="8"/>
      <c r="L17" s="8"/>
      <c r="M17" s="8"/>
      <c r="N17" s="8"/>
    </row>
    <row r="18" spans="1:14" x14ac:dyDescent="0.2">
      <c r="A18" s="90" t="s">
        <v>108</v>
      </c>
      <c r="B18" s="90"/>
      <c r="C18">
        <f>(C13*J4)</f>
        <v>48.105627499999997</v>
      </c>
      <c r="D18" t="s">
        <v>109</v>
      </c>
      <c r="I18" s="8"/>
      <c r="J18" s="8"/>
      <c r="K18" s="8"/>
      <c r="L18" s="8"/>
      <c r="M18" s="8"/>
      <c r="N18" s="8"/>
    </row>
    <row r="19" spans="1:14" x14ac:dyDescent="0.2">
      <c r="A19" s="90" t="s">
        <v>241</v>
      </c>
      <c r="B19" s="90"/>
      <c r="C19">
        <f>(12*(J2)-4)/2</f>
        <v>8.5</v>
      </c>
      <c r="D19" t="s">
        <v>242</v>
      </c>
      <c r="I19" s="8"/>
      <c r="J19" s="8"/>
      <c r="K19" s="8"/>
      <c r="L19" s="8"/>
      <c r="M19" s="8"/>
      <c r="N19" s="8"/>
    </row>
    <row r="20" spans="1:14" x14ac:dyDescent="0.2">
      <c r="A20" s="90"/>
      <c r="B20" s="90"/>
      <c r="I20" s="8"/>
      <c r="J20" s="8"/>
      <c r="K20" s="8"/>
      <c r="L20" s="8"/>
      <c r="M20" s="8"/>
      <c r="N20" s="8"/>
    </row>
    <row r="21" spans="1:14" x14ac:dyDescent="0.2">
      <c r="A21" s="90"/>
      <c r="B21" s="90"/>
      <c r="I21" s="8"/>
      <c r="J21" s="8"/>
      <c r="K21" s="8"/>
      <c r="L21" s="8"/>
      <c r="M21" s="8"/>
      <c r="N21" s="8"/>
    </row>
    <row r="22" spans="1:14" x14ac:dyDescent="0.2">
      <c r="A22" s="89" t="s">
        <v>99</v>
      </c>
      <c r="B22" s="89"/>
      <c r="C22" s="1" t="s">
        <v>34</v>
      </c>
      <c r="D22" s="1" t="s">
        <v>39</v>
      </c>
      <c r="I22" s="8"/>
      <c r="J22" s="8"/>
      <c r="K22" s="8"/>
      <c r="L22" s="8"/>
      <c r="M22" s="8"/>
      <c r="N22" s="8"/>
    </row>
    <row r="23" spans="1:14" x14ac:dyDescent="0.2">
      <c r="A23" s="90" t="s">
        <v>100</v>
      </c>
      <c r="B23" s="90"/>
      <c r="C23">
        <f>C18*J10</f>
        <v>7215.8441249999996</v>
      </c>
      <c r="D23" t="s">
        <v>101</v>
      </c>
      <c r="I23" s="8"/>
      <c r="J23" s="8"/>
      <c r="K23" s="8"/>
      <c r="L23" s="8"/>
      <c r="M23" s="8"/>
      <c r="N23" s="8"/>
    </row>
    <row r="24" spans="1:14" x14ac:dyDescent="0.2">
      <c r="A24" s="90" t="s">
        <v>102</v>
      </c>
      <c r="B24" s="90"/>
      <c r="C24">
        <f>(C4*C8+2500)*C13</f>
        <v>9014.9945934999996</v>
      </c>
      <c r="D24" t="s">
        <v>103</v>
      </c>
      <c r="I24" s="8"/>
      <c r="J24" s="8"/>
      <c r="K24" s="8"/>
      <c r="L24" s="8"/>
      <c r="M24" s="8"/>
      <c r="N24" s="8"/>
    </row>
    <row r="25" spans="1:14" x14ac:dyDescent="0.2">
      <c r="A25" s="90" t="s">
        <v>104</v>
      </c>
      <c r="B25" s="90"/>
      <c r="C25">
        <f>C5*C13</f>
        <v>48105.627500000002</v>
      </c>
      <c r="D25" t="s">
        <v>105</v>
      </c>
      <c r="I25" s="8"/>
      <c r="J25" s="8"/>
      <c r="K25" s="8"/>
      <c r="L25" s="8"/>
      <c r="M25" s="8"/>
      <c r="N25" s="8"/>
    </row>
    <row r="26" spans="1:14" x14ac:dyDescent="0.2">
      <c r="A26" s="90" t="s">
        <v>106</v>
      </c>
      <c r="B26" s="90"/>
      <c r="C26">
        <f>C6*C14</f>
        <v>219911.44</v>
      </c>
      <c r="D26" t="s">
        <v>107</v>
      </c>
      <c r="I26" s="8"/>
      <c r="J26" s="8"/>
      <c r="K26" s="8"/>
      <c r="L26" s="8"/>
      <c r="M26" s="8"/>
      <c r="N26" s="8"/>
    </row>
    <row r="27" spans="1:14" x14ac:dyDescent="0.2">
      <c r="A27" s="90" t="s">
        <v>365</v>
      </c>
      <c r="B27" s="90"/>
      <c r="C27">
        <f>2500*C14</f>
        <v>274889.3</v>
      </c>
      <c r="D27" t="s">
        <v>363</v>
      </c>
      <c r="E27" s="4" t="s">
        <v>364</v>
      </c>
      <c r="I27" s="8"/>
      <c r="J27" s="8"/>
      <c r="K27" s="8"/>
      <c r="L27" s="8"/>
      <c r="M27" s="8"/>
      <c r="N27" s="8"/>
    </row>
    <row r="28" spans="1:14" x14ac:dyDescent="0.2">
      <c r="A28" s="90"/>
      <c r="B28" s="90"/>
      <c r="I28" s="8"/>
      <c r="J28" s="8"/>
      <c r="K28" s="8"/>
      <c r="L28" s="8"/>
      <c r="M28" s="8"/>
      <c r="N28" s="8"/>
    </row>
    <row r="29" spans="1:14" x14ac:dyDescent="0.2">
      <c r="I29" s="8"/>
      <c r="J29" s="8"/>
      <c r="K29" s="8"/>
      <c r="L29" s="8"/>
      <c r="M29" s="8"/>
      <c r="N29" s="8"/>
    </row>
    <row r="30" spans="1:14" x14ac:dyDescent="0.2">
      <c r="I30" s="8"/>
      <c r="J30" s="8"/>
      <c r="K30" s="8"/>
      <c r="L30" s="8"/>
      <c r="M30" s="8"/>
      <c r="N30" s="8"/>
    </row>
    <row r="31" spans="1:14" x14ac:dyDescent="0.2">
      <c r="A31" s="1" t="s">
        <v>26</v>
      </c>
      <c r="B31" s="1"/>
      <c r="C31" s="1"/>
      <c r="D31" s="1" t="s">
        <v>27</v>
      </c>
      <c r="E31" s="1" t="s">
        <v>89</v>
      </c>
      <c r="F31" s="1" t="s">
        <v>90</v>
      </c>
      <c r="G31" s="1" t="s">
        <v>28</v>
      </c>
      <c r="H31" s="1" t="s">
        <v>94</v>
      </c>
      <c r="I31" s="8"/>
      <c r="J31" s="8"/>
      <c r="K31" s="8"/>
      <c r="L31" s="8"/>
      <c r="M31" s="8"/>
      <c r="N31" s="8"/>
    </row>
    <row r="32" spans="1:14" x14ac:dyDescent="0.2">
      <c r="A32" t="s">
        <v>30</v>
      </c>
      <c r="D32" t="s">
        <v>29</v>
      </c>
      <c r="E32">
        <f>0.65*(0.3*J5*C13*144+0.4*J11*B44)</f>
        <v>274092.12102999998</v>
      </c>
      <c r="F32">
        <f>(1.4*C2)+(1.7*C3)</f>
        <v>93737</v>
      </c>
      <c r="G32">
        <f>IF(E32&gt;F32,1,0)</f>
        <v>1</v>
      </c>
      <c r="H32" t="s">
        <v>69</v>
      </c>
      <c r="I32" s="8"/>
      <c r="J32" s="8"/>
      <c r="K32" s="8"/>
      <c r="L32" s="8"/>
      <c r="M32" s="8"/>
      <c r="N32" s="8"/>
    </row>
    <row r="33" spans="1:14" x14ac:dyDescent="0.2">
      <c r="A33" t="s">
        <v>31</v>
      </c>
      <c r="D33" t="s">
        <v>91</v>
      </c>
      <c r="E33">
        <f>(5*(SQRT(J5))*C17*12^3)</f>
        <v>248993.67771832852</v>
      </c>
      <c r="F33">
        <f>(12*J2*J7)*(1.5+0.055*H16+C16)</f>
        <v>163795.68</v>
      </c>
      <c r="G33">
        <f>IF(E33&gt;F33,1,0)</f>
        <v>1</v>
      </c>
      <c r="H33" t="s">
        <v>95</v>
      </c>
      <c r="I33" s="8"/>
      <c r="J33" s="8"/>
      <c r="K33" s="8"/>
      <c r="L33" s="8"/>
      <c r="M33" s="8"/>
      <c r="N33" s="8"/>
    </row>
    <row r="34" spans="1:14" x14ac:dyDescent="0.2">
      <c r="A34" t="s">
        <v>32</v>
      </c>
      <c r="D34" t="s">
        <v>111</v>
      </c>
      <c r="E34">
        <f>(4/3)*SQRT(J5)*(J2^2)*144</f>
        <v>32206.086381303765</v>
      </c>
      <c r="F34">
        <f>J7</f>
        <v>2448</v>
      </c>
      <c r="G34">
        <f t="shared" ref="G34:G38" si="0">IF(E34&gt;F34,1,0)</f>
        <v>1</v>
      </c>
      <c r="H34" t="s">
        <v>69</v>
      </c>
      <c r="I34" s="8"/>
      <c r="J34" s="8"/>
      <c r="K34" s="8"/>
      <c r="L34" s="8"/>
      <c r="M34" s="8"/>
      <c r="N34" s="8"/>
    </row>
    <row r="35" spans="1:14" x14ac:dyDescent="0.2">
      <c r="A35" t="s">
        <v>60</v>
      </c>
      <c r="D35" t="s">
        <v>61</v>
      </c>
      <c r="E35">
        <f>(C25/J8)+(C26/J9)</f>
        <v>134008.53375</v>
      </c>
      <c r="F35">
        <f>C2+C3</f>
        <v>61495</v>
      </c>
      <c r="G35">
        <f t="shared" si="0"/>
        <v>1</v>
      </c>
      <c r="H35" t="s">
        <v>69</v>
      </c>
      <c r="I35" s="8"/>
      <c r="J35" s="8"/>
      <c r="K35" s="8"/>
      <c r="L35" s="8"/>
      <c r="M35" s="8"/>
      <c r="N35" s="8"/>
    </row>
    <row r="36" spans="1:14" x14ac:dyDescent="0.2">
      <c r="A36" t="s">
        <v>63</v>
      </c>
      <c r="D36" t="s">
        <v>62</v>
      </c>
      <c r="E36">
        <f>0.9*(C23+C2)</f>
        <v>38907.759712500003</v>
      </c>
      <c r="F36">
        <f>C24</f>
        <v>9014.9945934999996</v>
      </c>
      <c r="G36">
        <f t="shared" si="0"/>
        <v>1</v>
      </c>
      <c r="H36" t="s">
        <v>69</v>
      </c>
      <c r="I36" s="8"/>
      <c r="J36" s="8"/>
      <c r="K36" s="8"/>
      <c r="L36" s="8"/>
      <c r="M36" s="8"/>
      <c r="N36" s="8"/>
    </row>
    <row r="37" spans="1:14" x14ac:dyDescent="0.2">
      <c r="A37" t="s">
        <v>348</v>
      </c>
      <c r="D37" t="s">
        <v>115</v>
      </c>
      <c r="E37">
        <f>0.65*5*SQRT(J5)</f>
        <v>178.00983118917898</v>
      </c>
      <c r="F37">
        <f>ABS((F33/(1728*C17))-(F32/(144*C13)))</f>
        <v>90.479844224871243</v>
      </c>
      <c r="G37">
        <f t="shared" si="0"/>
        <v>1</v>
      </c>
      <c r="H37" t="s">
        <v>81</v>
      </c>
      <c r="I37" s="8"/>
      <c r="J37" s="8"/>
      <c r="K37" s="8"/>
      <c r="L37" s="8"/>
      <c r="M37" s="8"/>
      <c r="N37" s="8"/>
    </row>
    <row r="38" spans="1:14" x14ac:dyDescent="0.2">
      <c r="A38" t="s">
        <v>347</v>
      </c>
      <c r="D38" t="s">
        <v>116</v>
      </c>
      <c r="E38">
        <v>1</v>
      </c>
      <c r="F38">
        <f>(F33/E33)+(F32/E32)</f>
        <v>0.99982153798388684</v>
      </c>
      <c r="G38">
        <f t="shared" si="0"/>
        <v>1</v>
      </c>
      <c r="H38" t="s">
        <v>98</v>
      </c>
      <c r="I38" s="8"/>
      <c r="J38" s="8"/>
      <c r="K38" s="8"/>
      <c r="L38" s="8"/>
      <c r="M38" s="8"/>
      <c r="N38" s="8"/>
    </row>
    <row r="39" spans="1:14" x14ac:dyDescent="0.2">
      <c r="I39" s="8"/>
      <c r="J39" s="8"/>
      <c r="K39" s="8"/>
      <c r="L39" s="8"/>
      <c r="M39" s="8"/>
      <c r="N39" s="8"/>
    </row>
    <row r="40" spans="1:14" ht="17" thickBot="1" x14ac:dyDescent="0.25">
      <c r="G40" s="5"/>
      <c r="I40" s="8"/>
      <c r="J40" s="8"/>
      <c r="K40" s="8"/>
      <c r="N40" s="4" t="s">
        <v>243</v>
      </c>
    </row>
    <row r="41" spans="1:14" x14ac:dyDescent="0.2">
      <c r="A41" s="53" t="s">
        <v>201</v>
      </c>
      <c r="B41" s="54"/>
      <c r="C41" s="55" t="s">
        <v>94</v>
      </c>
    </row>
    <row r="42" spans="1:14" x14ac:dyDescent="0.2">
      <c r="A42" s="56" t="s">
        <v>202</v>
      </c>
      <c r="B42" s="8">
        <f>J4</f>
        <v>20</v>
      </c>
      <c r="C42" s="57" t="s">
        <v>72</v>
      </c>
    </row>
    <row r="43" spans="1:14" x14ac:dyDescent="0.2">
      <c r="A43" s="56" t="s">
        <v>203</v>
      </c>
      <c r="B43" s="8">
        <f>J2</f>
        <v>1.75</v>
      </c>
      <c r="C43" s="57" t="s">
        <v>72</v>
      </c>
    </row>
    <row r="44" spans="1:14" x14ac:dyDescent="0.2">
      <c r="A44" s="56" t="s">
        <v>349</v>
      </c>
      <c r="B44" s="8">
        <f>C27/J11</f>
        <v>4.5814883333333327</v>
      </c>
      <c r="C44" s="57" t="s">
        <v>146</v>
      </c>
    </row>
    <row r="45" spans="1:14" ht="17" thickBot="1" x14ac:dyDescent="0.25">
      <c r="A45" s="58" t="s">
        <v>350</v>
      </c>
      <c r="B45" s="59">
        <f>3.141592*(B43/2)^2*B42</f>
        <v>48.105627499999997</v>
      </c>
      <c r="C45" s="60" t="s">
        <v>307</v>
      </c>
    </row>
  </sheetData>
  <mergeCells count="18">
    <mergeCell ref="A17:B17"/>
    <mergeCell ref="A27:B27"/>
    <mergeCell ref="A28:B28"/>
    <mergeCell ref="A16:B16"/>
    <mergeCell ref="A21:B21"/>
    <mergeCell ref="A22:B22"/>
    <mergeCell ref="A23:B23"/>
    <mergeCell ref="A24:B24"/>
    <mergeCell ref="A25:B25"/>
    <mergeCell ref="A26:B26"/>
    <mergeCell ref="A18:B18"/>
    <mergeCell ref="A19:B19"/>
    <mergeCell ref="A20:B20"/>
    <mergeCell ref="F15:H15"/>
    <mergeCell ref="A12:B12"/>
    <mergeCell ref="A13:B13"/>
    <mergeCell ref="A14:B14"/>
    <mergeCell ref="A15:B15"/>
  </mergeCells>
  <conditionalFormatting sqref="G32:G38">
    <cfRule type="cellIs" dxfId="13" priority="1" operator="equal">
      <formula>0</formula>
    </cfRule>
    <cfRule type="cellIs" dxfId="12" priority="2" operator="equal">
      <formula>1</formula>
    </cfRule>
  </conditionalFormatting>
  <hyperlinks>
    <hyperlink ref="N40" r:id="rId1" xr:uid="{B89F49DF-1FED-2540-8BBF-F67BBBA66B5E}"/>
    <hyperlink ref="D6" r:id="rId2" xr:uid="{F5F18C5E-32DE-9A4E-9A0E-F68212238FFE}"/>
    <hyperlink ref="E27" r:id="rId3" xr:uid="{E564A731-4F9D-FC4E-9EA6-B23412884A9C}"/>
  </hyperlinks>
  <pageMargins left="0.7" right="0.7" top="0.75" bottom="0.75" header="0.3" footer="0.3"/>
  <pageSetup orientation="portrait" horizontalDpi="0" verticalDpi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70130-0358-B943-85F9-3FCF7ED8EB49}">
  <dimension ref="A1:AY58"/>
  <sheetViews>
    <sheetView topLeftCell="O35" zoomScale="89" zoomScaleNormal="50" workbookViewId="0">
      <selection activeCell="M38" sqref="M38"/>
    </sheetView>
  </sheetViews>
  <sheetFormatPr baseColWidth="10" defaultRowHeight="16" x14ac:dyDescent="0.2"/>
  <cols>
    <col min="3" max="3" width="12.6640625" bestFit="1" customWidth="1"/>
    <col min="4" max="4" width="43.6640625" customWidth="1"/>
    <col min="8" max="8" width="13.5" customWidth="1"/>
    <col min="11" max="11" width="51" customWidth="1"/>
    <col min="12" max="13" width="8.6640625" customWidth="1"/>
    <col min="14" max="14" width="27.6640625" customWidth="1"/>
    <col min="15" max="15" width="11" customWidth="1"/>
    <col min="21" max="21" width="10.83203125" style="11"/>
  </cols>
  <sheetData>
    <row r="1" spans="1:51" x14ac:dyDescent="0.2">
      <c r="A1" s="1" t="s">
        <v>33</v>
      </c>
      <c r="B1" s="1" t="s">
        <v>4</v>
      </c>
      <c r="C1" s="1" t="s">
        <v>34</v>
      </c>
      <c r="D1" s="1" t="s">
        <v>39</v>
      </c>
      <c r="H1" s="1" t="s">
        <v>48</v>
      </c>
      <c r="I1" s="1" t="s">
        <v>49</v>
      </c>
      <c r="J1" s="1" t="s">
        <v>34</v>
      </c>
      <c r="K1" s="1" t="s">
        <v>39</v>
      </c>
      <c r="L1" s="5"/>
      <c r="M1" s="5"/>
      <c r="N1" s="5"/>
      <c r="P1" s="1" t="s">
        <v>127</v>
      </c>
      <c r="Q1" s="1"/>
      <c r="R1" s="1"/>
      <c r="S1" s="1"/>
      <c r="T1" s="1"/>
      <c r="U1" s="10"/>
      <c r="V1" s="1" t="s">
        <v>130</v>
      </c>
      <c r="W1" s="1"/>
      <c r="X1" s="1"/>
      <c r="Y1" s="1"/>
      <c r="Z1" s="1"/>
      <c r="AA1" s="1"/>
    </row>
    <row r="2" spans="1:51" x14ac:dyDescent="0.2">
      <c r="A2" s="6" t="s">
        <v>284</v>
      </c>
      <c r="B2" s="6" t="s">
        <v>72</v>
      </c>
      <c r="C2" s="6">
        <v>48</v>
      </c>
      <c r="D2" s="5" t="s">
        <v>286</v>
      </c>
      <c r="H2" s="5" t="s">
        <v>117</v>
      </c>
      <c r="I2" s="5" t="s">
        <v>72</v>
      </c>
      <c r="J2" s="5">
        <f>5.5/12</f>
        <v>0.45833333333333331</v>
      </c>
      <c r="K2" t="s">
        <v>142</v>
      </c>
      <c r="N2" s="1" t="s">
        <v>132</v>
      </c>
      <c r="O2" s="1" t="s">
        <v>4</v>
      </c>
      <c r="P2" s="1"/>
      <c r="Q2" s="1" t="s">
        <v>128</v>
      </c>
      <c r="R2" s="1"/>
      <c r="S2" s="1"/>
      <c r="T2" s="1" t="s">
        <v>129</v>
      </c>
      <c r="U2" s="10"/>
      <c r="V2" s="1"/>
      <c r="W2" s="1" t="s">
        <v>128</v>
      </c>
      <c r="X2" s="1"/>
      <c r="Y2" s="1"/>
      <c r="Z2" s="1" t="s">
        <v>129</v>
      </c>
      <c r="AA2" s="1"/>
      <c r="AB2" s="5"/>
    </row>
    <row r="3" spans="1:51" x14ac:dyDescent="0.2">
      <c r="A3" s="6" t="s">
        <v>285</v>
      </c>
      <c r="B3" s="6" t="s">
        <v>72</v>
      </c>
      <c r="C3" s="6">
        <v>62</v>
      </c>
      <c r="D3" s="5" t="s">
        <v>287</v>
      </c>
      <c r="H3" s="5" t="s">
        <v>188</v>
      </c>
      <c r="I3" s="5" t="s">
        <v>72</v>
      </c>
      <c r="J3" s="5">
        <f>5/12</f>
        <v>0.41666666666666669</v>
      </c>
      <c r="K3" t="s">
        <v>189</v>
      </c>
      <c r="N3" t="s">
        <v>131</v>
      </c>
      <c r="O3" t="s">
        <v>72</v>
      </c>
      <c r="P3" s="91">
        <f>J5</f>
        <v>14</v>
      </c>
      <c r="Q3" s="91"/>
      <c r="R3" s="91"/>
      <c r="S3" s="91">
        <f>J5</f>
        <v>14</v>
      </c>
      <c r="T3" s="91"/>
      <c r="U3" s="93"/>
      <c r="V3" s="96">
        <f>J6</f>
        <v>14</v>
      </c>
      <c r="W3" s="95"/>
      <c r="X3" s="95"/>
      <c r="Y3" s="91">
        <f>J6</f>
        <v>14</v>
      </c>
      <c r="Z3" s="91"/>
      <c r="AA3" s="91"/>
    </row>
    <row r="4" spans="1:51" x14ac:dyDescent="0.2">
      <c r="A4" s="6" t="s">
        <v>35</v>
      </c>
      <c r="B4" s="6" t="s">
        <v>71</v>
      </c>
      <c r="C4" s="6">
        <v>115</v>
      </c>
      <c r="D4" s="5" t="s">
        <v>210</v>
      </c>
      <c r="H4" s="5" t="s">
        <v>152</v>
      </c>
      <c r="I4" s="5" t="s">
        <v>72</v>
      </c>
      <c r="J4" s="5">
        <v>1.25</v>
      </c>
      <c r="K4" t="s">
        <v>234</v>
      </c>
      <c r="N4" t="s">
        <v>133</v>
      </c>
      <c r="O4" t="s">
        <v>72</v>
      </c>
      <c r="P4" s="91">
        <f>P3-$J$4</f>
        <v>12.75</v>
      </c>
      <c r="Q4" s="91"/>
      <c r="R4" s="91"/>
      <c r="S4" s="95">
        <f>S3-$J$4</f>
        <v>12.75</v>
      </c>
      <c r="T4" s="95"/>
      <c r="U4" s="93"/>
      <c r="V4" s="91">
        <f>V3-$J$4</f>
        <v>12.75</v>
      </c>
      <c r="W4" s="91"/>
      <c r="X4" s="91"/>
      <c r="Y4" s="91">
        <f>Y3-$J$4</f>
        <v>12.75</v>
      </c>
      <c r="Z4" s="91"/>
      <c r="AA4" s="91"/>
      <c r="AK4" s="50"/>
      <c r="AL4" s="50"/>
      <c r="AM4" s="50"/>
      <c r="AN4" s="50"/>
      <c r="AO4" s="50"/>
      <c r="AP4" s="50"/>
      <c r="AQ4" s="50"/>
      <c r="AR4" s="50"/>
    </row>
    <row r="5" spans="1:51" x14ac:dyDescent="0.2">
      <c r="A5" s="5" t="s">
        <v>207</v>
      </c>
      <c r="B5" s="5" t="s">
        <v>71</v>
      </c>
      <c r="C5" s="5">
        <f>C9*J2</f>
        <v>68.75</v>
      </c>
      <c r="D5" s="5" t="s">
        <v>208</v>
      </c>
      <c r="H5" s="5" t="s">
        <v>119</v>
      </c>
      <c r="I5" s="5" t="s">
        <v>72</v>
      </c>
      <c r="J5" s="5">
        <v>14</v>
      </c>
      <c r="K5" t="s">
        <v>177</v>
      </c>
      <c r="N5" t="s">
        <v>134</v>
      </c>
      <c r="O5" t="s">
        <v>135</v>
      </c>
      <c r="P5" s="91">
        <f>$C$32</f>
        <v>428.5</v>
      </c>
      <c r="Q5" s="91"/>
      <c r="R5" s="91"/>
      <c r="S5" s="95">
        <f t="shared" ref="S5" si="0">$C$32</f>
        <v>428.5</v>
      </c>
      <c r="T5" s="95"/>
      <c r="U5" s="93"/>
      <c r="V5" s="91">
        <f t="shared" ref="V5" si="1">$C$32</f>
        <v>428.5</v>
      </c>
      <c r="W5" s="91"/>
      <c r="X5" s="91"/>
      <c r="Y5" s="91">
        <f t="shared" ref="Y5" si="2">$C$32</f>
        <v>428.5</v>
      </c>
      <c r="Z5" s="91"/>
      <c r="AA5" s="91"/>
      <c r="AK5" s="50"/>
      <c r="AL5" s="50"/>
      <c r="AM5" s="50"/>
      <c r="AN5" s="50"/>
      <c r="AO5" s="50"/>
      <c r="AP5" s="50"/>
      <c r="AQ5" s="50"/>
      <c r="AR5" s="50"/>
    </row>
    <row r="6" spans="1:51" x14ac:dyDescent="0.2">
      <c r="A6" t="s">
        <v>209</v>
      </c>
      <c r="B6" t="s">
        <v>71</v>
      </c>
      <c r="C6">
        <f>C5+C4</f>
        <v>183.75</v>
      </c>
      <c r="D6" t="s">
        <v>179</v>
      </c>
      <c r="H6" s="5" t="s">
        <v>120</v>
      </c>
      <c r="I6" s="5" t="s">
        <v>72</v>
      </c>
      <c r="J6" s="5">
        <v>14</v>
      </c>
      <c r="K6" t="s">
        <v>178</v>
      </c>
      <c r="N6" t="s">
        <v>244</v>
      </c>
      <c r="O6" t="s">
        <v>135</v>
      </c>
      <c r="P6" s="91">
        <f>(-2*$C$34*$C$21)/($C$22^2)</f>
        <v>-58.928571428571431</v>
      </c>
      <c r="Q6" s="91"/>
      <c r="R6" s="91"/>
      <c r="S6" s="95">
        <f>(-2*$C$34*$C$21)/($C$22^2)</f>
        <v>-58.928571428571431</v>
      </c>
      <c r="T6" s="95"/>
      <c r="U6" s="93"/>
      <c r="V6" s="95">
        <f>(-2*$C$35*$C$21)/($C$23^2)</f>
        <v>-58.928571428571431</v>
      </c>
      <c r="W6" s="95"/>
      <c r="X6" s="95"/>
      <c r="Y6" s="95">
        <f>(-2*$C$35*$C$21)/($C$23^2)</f>
        <v>-58.928571428571431</v>
      </c>
      <c r="Z6" s="95"/>
      <c r="AA6" s="95"/>
      <c r="AC6" t="s">
        <v>206</v>
      </c>
      <c r="AD6">
        <f>AVERAGE(P6:AA6)</f>
        <v>-58.928571428571431</v>
      </c>
      <c r="AK6" s="50"/>
      <c r="AL6" s="50"/>
      <c r="AM6" s="50"/>
      <c r="AN6" s="50"/>
      <c r="AO6" s="50"/>
      <c r="AP6" s="50"/>
      <c r="AQ6" s="50"/>
      <c r="AR6" s="50"/>
    </row>
    <row r="7" spans="1:51" x14ac:dyDescent="0.2">
      <c r="A7" s="6" t="s">
        <v>36</v>
      </c>
      <c r="B7" s="6" t="s">
        <v>71</v>
      </c>
      <c r="C7" s="6">
        <v>130</v>
      </c>
      <c r="D7" t="s">
        <v>118</v>
      </c>
      <c r="H7" s="5" t="s">
        <v>173</v>
      </c>
      <c r="I7" s="5" t="s">
        <v>72</v>
      </c>
      <c r="J7" s="5">
        <v>3</v>
      </c>
      <c r="K7" t="s">
        <v>176</v>
      </c>
      <c r="N7" t="s">
        <v>250</v>
      </c>
      <c r="O7" t="s">
        <v>197</v>
      </c>
      <c r="P7" s="25">
        <f>C11</f>
        <v>0.26</v>
      </c>
      <c r="Q7" s="25">
        <f>C12</f>
        <v>0.52</v>
      </c>
      <c r="R7" s="25">
        <f>C13</f>
        <v>0.7</v>
      </c>
      <c r="S7" s="26">
        <v>0.65</v>
      </c>
      <c r="T7" s="26">
        <v>0.35</v>
      </c>
      <c r="U7" s="27">
        <v>0.65</v>
      </c>
      <c r="V7" s="25">
        <f>C11</f>
        <v>0.26</v>
      </c>
      <c r="W7" s="25">
        <f>C12</f>
        <v>0.52</v>
      </c>
      <c r="X7" s="25">
        <f>C13</f>
        <v>0.7</v>
      </c>
      <c r="Y7" s="26">
        <v>0.65</v>
      </c>
      <c r="Z7" s="26">
        <v>0.35</v>
      </c>
      <c r="AA7" s="32">
        <v>0.65</v>
      </c>
      <c r="AK7" s="50"/>
      <c r="AL7" s="50"/>
      <c r="AM7" s="50"/>
      <c r="AN7" s="50"/>
      <c r="AO7" s="50"/>
      <c r="AP7" s="50"/>
      <c r="AQ7" s="50"/>
      <c r="AR7" s="50"/>
    </row>
    <row r="8" spans="1:51" x14ac:dyDescent="0.2">
      <c r="A8" t="s">
        <v>125</v>
      </c>
      <c r="B8" s="5" t="s">
        <v>70</v>
      </c>
      <c r="C8" s="5">
        <v>490</v>
      </c>
      <c r="D8" t="s">
        <v>126</v>
      </c>
      <c r="H8" s="5" t="s">
        <v>174</v>
      </c>
      <c r="I8" s="5" t="s">
        <v>72</v>
      </c>
      <c r="J8" s="5">
        <v>3</v>
      </c>
      <c r="K8" t="s">
        <v>175</v>
      </c>
      <c r="N8" s="28" t="s">
        <v>251</v>
      </c>
      <c r="O8" s="29" t="s">
        <v>136</v>
      </c>
      <c r="P8" s="92">
        <f>(0.5)*(P5*(P4^2))</f>
        <v>34829.015625</v>
      </c>
      <c r="Q8" s="92"/>
      <c r="R8" s="92"/>
      <c r="S8" s="92">
        <f>(0.5)*(S5*(S4^2))</f>
        <v>34829.015625</v>
      </c>
      <c r="T8" s="92"/>
      <c r="U8" s="94"/>
      <c r="V8" s="92">
        <f>(0.5)*(V5*(V4^2))</f>
        <v>34829.015625</v>
      </c>
      <c r="W8" s="92"/>
      <c r="X8" s="92"/>
      <c r="Y8" s="92">
        <f>(0.5)*(Y5*(Y4^2))</f>
        <v>34829.015625</v>
      </c>
      <c r="Z8" s="92"/>
      <c r="AA8" s="93"/>
      <c r="AK8" s="50"/>
      <c r="AL8" s="50"/>
      <c r="AM8" s="50"/>
      <c r="AN8" s="50"/>
      <c r="AO8" s="50"/>
      <c r="AP8" s="50"/>
      <c r="AQ8" s="50"/>
      <c r="AR8" s="50"/>
    </row>
    <row r="9" spans="1:51" x14ac:dyDescent="0.2">
      <c r="A9" t="s">
        <v>78</v>
      </c>
      <c r="B9" t="s">
        <v>70</v>
      </c>
      <c r="C9">
        <v>150</v>
      </c>
      <c r="D9" t="s">
        <v>79</v>
      </c>
      <c r="H9" t="s">
        <v>55</v>
      </c>
      <c r="I9" t="s">
        <v>81</v>
      </c>
      <c r="J9">
        <v>4500</v>
      </c>
      <c r="K9" t="s">
        <v>57</v>
      </c>
      <c r="N9" s="30" t="s">
        <v>191</v>
      </c>
      <c r="O9" s="8" t="s">
        <v>136</v>
      </c>
      <c r="P9" s="26">
        <f>$C$11*P8</f>
        <v>9055.544062500001</v>
      </c>
      <c r="Q9" s="26" t="s">
        <v>159</v>
      </c>
      <c r="R9" s="26">
        <f>$C$13*P8</f>
        <v>24380.310937499999</v>
      </c>
      <c r="S9" s="26">
        <f>0.65*S8</f>
        <v>22638.860156250001</v>
      </c>
      <c r="T9" s="26" t="s">
        <v>159</v>
      </c>
      <c r="U9" s="27">
        <f>0.65*S8</f>
        <v>22638.860156250001</v>
      </c>
      <c r="V9" s="26">
        <f>$C$11*V8</f>
        <v>9055.544062500001</v>
      </c>
      <c r="W9" s="26" t="s">
        <v>159</v>
      </c>
      <c r="X9" s="26">
        <f>$C$13*V8</f>
        <v>24380.310937499999</v>
      </c>
      <c r="Y9" s="26">
        <f>0.65*Y8</f>
        <v>22638.860156250001</v>
      </c>
      <c r="Z9" s="26" t="s">
        <v>159</v>
      </c>
      <c r="AA9" s="27">
        <f>0.65*Y8</f>
        <v>22638.860156250001</v>
      </c>
      <c r="AK9" s="50"/>
      <c r="AL9" s="50"/>
      <c r="AM9" s="50"/>
      <c r="AN9" s="50"/>
      <c r="AO9" s="50"/>
      <c r="AP9" s="50"/>
      <c r="AQ9" s="50"/>
      <c r="AR9" s="50"/>
    </row>
    <row r="10" spans="1:51" x14ac:dyDescent="0.2">
      <c r="A10" t="s">
        <v>139</v>
      </c>
      <c r="B10" t="s">
        <v>72</v>
      </c>
      <c r="C10">
        <f>2/12</f>
        <v>0.16666666666666666</v>
      </c>
      <c r="D10" t="s">
        <v>141</v>
      </c>
      <c r="H10" s="5" t="s">
        <v>259</v>
      </c>
      <c r="I10" s="5" t="s">
        <v>81</v>
      </c>
      <c r="J10" s="5">
        <v>3000</v>
      </c>
      <c r="K10" s="5" t="s">
        <v>260</v>
      </c>
      <c r="N10" s="30" t="s">
        <v>195</v>
      </c>
      <c r="O10" s="8" t="s">
        <v>136</v>
      </c>
      <c r="P10" s="26" t="s">
        <v>172</v>
      </c>
      <c r="Q10" s="26">
        <f>-$C$12*P8</f>
        <v>-18111.088125000002</v>
      </c>
      <c r="R10" s="26" t="s">
        <v>159</v>
      </c>
      <c r="S10" s="26" t="s">
        <v>159</v>
      </c>
      <c r="T10" s="26">
        <f>-0.35*S8</f>
        <v>-12190.155468749999</v>
      </c>
      <c r="U10" s="27" t="s">
        <v>159</v>
      </c>
      <c r="V10" s="26" t="s">
        <v>159</v>
      </c>
      <c r="W10" s="26">
        <f>-$C$12*V8</f>
        <v>-18111.088125000002</v>
      </c>
      <c r="X10" s="26" t="s">
        <v>159</v>
      </c>
      <c r="Y10" s="26" t="s">
        <v>159</v>
      </c>
      <c r="Z10" s="26">
        <f>-0.35*Y8</f>
        <v>-12190.155468749999</v>
      </c>
      <c r="AA10" s="27" t="s">
        <v>159</v>
      </c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</row>
    <row r="11" spans="1:51" x14ac:dyDescent="0.2">
      <c r="A11" t="s">
        <v>148</v>
      </c>
      <c r="B11" t="s">
        <v>80</v>
      </c>
      <c r="C11">
        <v>0.26</v>
      </c>
      <c r="D11" t="s">
        <v>151</v>
      </c>
      <c r="H11" s="5" t="s">
        <v>143</v>
      </c>
      <c r="I11" s="5" t="s">
        <v>81</v>
      </c>
      <c r="J11" s="9">
        <v>160000</v>
      </c>
      <c r="K11" t="s">
        <v>144</v>
      </c>
      <c r="N11" s="30" t="s">
        <v>158</v>
      </c>
      <c r="O11" s="8" t="s">
        <v>69</v>
      </c>
      <c r="P11" s="26">
        <f>(-P5*P4)/2</f>
        <v>-2731.6875</v>
      </c>
      <c r="Q11" s="26" t="s">
        <v>159</v>
      </c>
      <c r="R11" s="26">
        <f>(-1.15*P5*P4)/2</f>
        <v>-3141.4406249999997</v>
      </c>
      <c r="S11" s="26">
        <f>(-S5*S4)/2</f>
        <v>-2731.6875</v>
      </c>
      <c r="T11" s="26" t="s">
        <v>159</v>
      </c>
      <c r="U11" s="27">
        <f>(-S5*S4)/2</f>
        <v>-2731.6875</v>
      </c>
      <c r="V11" s="26">
        <f>(-V5*V4)/2</f>
        <v>-2731.6875</v>
      </c>
      <c r="W11" s="26" t="s">
        <v>159</v>
      </c>
      <c r="X11" s="26">
        <f>(-1.15*V5*V4)/2</f>
        <v>-3141.4406249999997</v>
      </c>
      <c r="Y11" s="26">
        <f>(-Y5*Y4)/2</f>
        <v>-2731.6875</v>
      </c>
      <c r="Z11" s="26" t="s">
        <v>159</v>
      </c>
      <c r="AA11" s="27">
        <f>(-Y5*Y4)/2</f>
        <v>-2731.6875</v>
      </c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</row>
    <row r="12" spans="1:51" x14ac:dyDescent="0.2">
      <c r="A12" t="s">
        <v>149</v>
      </c>
      <c r="B12" t="s">
        <v>80</v>
      </c>
      <c r="C12">
        <v>0.52</v>
      </c>
      <c r="D12" t="s">
        <v>151</v>
      </c>
      <c r="H12" s="6" t="s">
        <v>137</v>
      </c>
      <c r="I12" s="6" t="s">
        <v>81</v>
      </c>
      <c r="J12" s="6">
        <v>175</v>
      </c>
      <c r="K12" t="s">
        <v>138</v>
      </c>
      <c r="N12" s="31" t="s">
        <v>192</v>
      </c>
      <c r="O12" s="3" t="s">
        <v>69</v>
      </c>
      <c r="P12" s="32">
        <f>(-P3*P5)/2</f>
        <v>-2999.5</v>
      </c>
      <c r="Q12" s="32" t="s">
        <v>159</v>
      </c>
      <c r="R12" s="32">
        <f>(-1.15*P3*P5)/2</f>
        <v>-3449.4249999999997</v>
      </c>
      <c r="S12" s="32">
        <f>(-S3*S5)/2</f>
        <v>-2999.5</v>
      </c>
      <c r="T12" s="32" t="s">
        <v>159</v>
      </c>
      <c r="U12" s="33">
        <f>(-S3*S5)/2</f>
        <v>-2999.5</v>
      </c>
      <c r="V12" s="32">
        <f>(-V3*V5)/2</f>
        <v>-2999.5</v>
      </c>
      <c r="W12" s="32" t="s">
        <v>159</v>
      </c>
      <c r="X12" s="32">
        <f>(-1.15*V3*V5)/2</f>
        <v>-3449.4249999999997</v>
      </c>
      <c r="Y12" s="32">
        <f>(-Y3*Y5)/2</f>
        <v>-2999.5</v>
      </c>
      <c r="Z12" s="32" t="s">
        <v>159</v>
      </c>
      <c r="AA12" s="33">
        <f>(-Y3*Y5)/2</f>
        <v>-2999.5</v>
      </c>
      <c r="AK12" s="50"/>
      <c r="AL12" s="50"/>
      <c r="AM12" s="50"/>
      <c r="AN12" s="50"/>
      <c r="AO12" s="50"/>
      <c r="AP12" s="50"/>
      <c r="AQ12" s="50"/>
      <c r="AR12" s="50" t="s">
        <v>318</v>
      </c>
      <c r="AS12" s="50"/>
      <c r="AT12" s="50"/>
      <c r="AU12" s="50"/>
      <c r="AV12" s="50"/>
      <c r="AW12" s="50"/>
      <c r="AX12" s="50"/>
      <c r="AY12" s="50"/>
    </row>
    <row r="13" spans="1:51" x14ac:dyDescent="0.2">
      <c r="A13" t="s">
        <v>150</v>
      </c>
      <c r="B13" t="s">
        <v>80</v>
      </c>
      <c r="C13">
        <v>0.7</v>
      </c>
      <c r="D13" t="s">
        <v>151</v>
      </c>
      <c r="H13" t="s">
        <v>145</v>
      </c>
      <c r="I13" t="s">
        <v>146</v>
      </c>
      <c r="J13">
        <v>0.153</v>
      </c>
      <c r="K13" t="s">
        <v>147</v>
      </c>
      <c r="N13" s="28" t="s">
        <v>252</v>
      </c>
      <c r="O13" s="29" t="s">
        <v>136</v>
      </c>
      <c r="P13" s="92">
        <f>(0.5)*(P6*(P4^2))</f>
        <v>-4789.7879464285716</v>
      </c>
      <c r="Q13" s="92"/>
      <c r="R13" s="92"/>
      <c r="S13" s="92">
        <f t="shared" ref="S13" si="3">(0.5)*(S6*(S4^2))</f>
        <v>-4789.7879464285716</v>
      </c>
      <c r="T13" s="92"/>
      <c r="U13" s="94"/>
      <c r="V13" s="92">
        <f t="shared" ref="V13" si="4">(0.5)*(V6*(V4^2))</f>
        <v>-4789.7879464285716</v>
      </c>
      <c r="W13" s="92"/>
      <c r="X13" s="92"/>
      <c r="Y13" s="92">
        <f t="shared" ref="Y13" si="5">(0.5)*(Y6*(Y4^2))</f>
        <v>-4789.7879464285716</v>
      </c>
      <c r="Z13" s="92"/>
      <c r="AA13" s="94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</row>
    <row r="14" spans="1:51" x14ac:dyDescent="0.2">
      <c r="H14" t="s">
        <v>123</v>
      </c>
      <c r="I14" s="5" t="s">
        <v>81</v>
      </c>
      <c r="J14">
        <v>60000</v>
      </c>
      <c r="K14" t="s">
        <v>124</v>
      </c>
      <c r="N14" s="30" t="s">
        <v>191</v>
      </c>
      <c r="O14" s="8" t="s">
        <v>136</v>
      </c>
      <c r="P14" s="26">
        <f>$C$11*P13</f>
        <v>-1245.3448660714287</v>
      </c>
      <c r="Q14" s="26" t="s">
        <v>159</v>
      </c>
      <c r="R14" s="26">
        <f>$C$13*P13</f>
        <v>-3352.8515625</v>
      </c>
      <c r="S14" s="26">
        <f>0.65*S13</f>
        <v>-3113.3621651785716</v>
      </c>
      <c r="T14" s="26" t="s">
        <v>159</v>
      </c>
      <c r="U14" s="27">
        <f>0.65*S13</f>
        <v>-3113.3621651785716</v>
      </c>
      <c r="V14" s="26">
        <f>$C$11*V13</f>
        <v>-1245.3448660714287</v>
      </c>
      <c r="W14" s="26" t="s">
        <v>159</v>
      </c>
      <c r="X14" s="26">
        <f>$C$13*V13</f>
        <v>-3352.8515625</v>
      </c>
      <c r="Y14" s="26">
        <f>0.65*Y13</f>
        <v>-3113.3621651785716</v>
      </c>
      <c r="Z14" s="26" t="s">
        <v>159</v>
      </c>
      <c r="AA14" s="27">
        <f>0.65*Y13</f>
        <v>-3113.3621651785716</v>
      </c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</row>
    <row r="15" spans="1:51" x14ac:dyDescent="0.2">
      <c r="H15" t="s">
        <v>215</v>
      </c>
      <c r="I15" s="5" t="s">
        <v>81</v>
      </c>
      <c r="J15">
        <v>190000</v>
      </c>
      <c r="K15" t="s">
        <v>122</v>
      </c>
      <c r="N15" s="31" t="s">
        <v>195</v>
      </c>
      <c r="O15" s="3" t="s">
        <v>136</v>
      </c>
      <c r="P15" s="32" t="s">
        <v>172</v>
      </c>
      <c r="Q15" s="32">
        <f>-$C$12*P13</f>
        <v>2490.6897321428573</v>
      </c>
      <c r="R15" s="32" t="s">
        <v>159</v>
      </c>
      <c r="S15" s="32" t="s">
        <v>159</v>
      </c>
      <c r="T15" s="32">
        <f>-0.35*S13</f>
        <v>1676.42578125</v>
      </c>
      <c r="U15" s="33" t="s">
        <v>159</v>
      </c>
      <c r="V15" s="32" t="s">
        <v>159</v>
      </c>
      <c r="W15" s="32">
        <f>-$C$12*V13</f>
        <v>2490.6897321428573</v>
      </c>
      <c r="X15" s="32" t="s">
        <v>159</v>
      </c>
      <c r="Y15" s="32" t="s">
        <v>159</v>
      </c>
      <c r="Z15" s="32">
        <f>-0.35*Y13</f>
        <v>1676.42578125</v>
      </c>
      <c r="AA15" s="33" t="s">
        <v>159</v>
      </c>
      <c r="AK15" s="50"/>
      <c r="AL15" s="50"/>
      <c r="AM15" s="50">
        <f>P41-P40</f>
        <v>24352.459233720831</v>
      </c>
      <c r="AN15" s="50">
        <f t="shared" ref="AN15:AX15" si="6">Q41-Q40</f>
        <v>41110.065320588517</v>
      </c>
      <c r="AO15" s="50">
        <f t="shared" si="6"/>
        <v>49968.934623331217</v>
      </c>
      <c r="AP15" s="50">
        <f t="shared" si="6"/>
        <v>53543.8509751612</v>
      </c>
      <c r="AQ15" s="50">
        <f t="shared" si="6"/>
        <v>29695.540738239037</v>
      </c>
      <c r="AR15" s="50">
        <f t="shared" si="6"/>
        <v>46611.721510875504</v>
      </c>
      <c r="AS15" s="50">
        <f t="shared" si="6"/>
        <v>24352.459233720831</v>
      </c>
      <c r="AT15" s="50">
        <f t="shared" si="6"/>
        <v>41110.065320588517</v>
      </c>
      <c r="AU15" s="50">
        <f t="shared" si="6"/>
        <v>49968.934623331217</v>
      </c>
      <c r="AV15" s="50">
        <f t="shared" si="6"/>
        <v>53543.8509751612</v>
      </c>
      <c r="AW15" s="50">
        <f t="shared" si="6"/>
        <v>29695.540738239037</v>
      </c>
      <c r="AX15" s="50">
        <f t="shared" si="6"/>
        <v>46611.721510875504</v>
      </c>
      <c r="AY15" s="50"/>
    </row>
    <row r="16" spans="1:51" x14ac:dyDescent="0.2">
      <c r="N16" t="s">
        <v>166</v>
      </c>
      <c r="O16" t="s">
        <v>10</v>
      </c>
      <c r="P16" s="91">
        <f>100*-P6/$C$33</f>
        <v>32.069970845481052</v>
      </c>
      <c r="Q16" s="91"/>
      <c r="R16" s="91"/>
      <c r="S16" s="95">
        <f>100*-S6/$C$33</f>
        <v>32.069970845481052</v>
      </c>
      <c r="T16" s="95"/>
      <c r="U16" s="93"/>
      <c r="V16" s="91">
        <f>100*-V6/$C$33</f>
        <v>32.069970845481052</v>
      </c>
      <c r="W16" s="91"/>
      <c r="X16" s="91"/>
      <c r="Y16" s="91">
        <f>100*-Y6/$C$33</f>
        <v>32.069970845481052</v>
      </c>
      <c r="Z16" s="91"/>
      <c r="AA16" s="91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</row>
    <row r="17" spans="1:51" x14ac:dyDescent="0.2">
      <c r="N17" t="s">
        <v>198</v>
      </c>
      <c r="O17" t="s">
        <v>146</v>
      </c>
      <c r="P17" s="91">
        <f>($C$34/$C$36)*J13</f>
        <v>6.5449999999999994E-2</v>
      </c>
      <c r="Q17" s="91"/>
      <c r="R17" s="91"/>
      <c r="S17" s="95">
        <f>($C$34/$C$36)*J13</f>
        <v>6.5449999999999994E-2</v>
      </c>
      <c r="T17" s="95"/>
      <c r="U17" s="93"/>
      <c r="V17" s="96">
        <f>($C$35/$C$36)*J13</f>
        <v>6.5449999999999994E-2</v>
      </c>
      <c r="W17" s="91"/>
      <c r="X17" s="91"/>
      <c r="Y17" s="91">
        <f>($C$35/$C$36)*J13</f>
        <v>6.5449999999999994E-2</v>
      </c>
      <c r="Z17" s="91"/>
      <c r="AA17" s="91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</row>
    <row r="18" spans="1:51" x14ac:dyDescent="0.2">
      <c r="A18" s="89" t="s">
        <v>82</v>
      </c>
      <c r="B18" s="89"/>
      <c r="C18" s="1" t="s">
        <v>34</v>
      </c>
      <c r="D18" s="1" t="s">
        <v>39</v>
      </c>
      <c r="N18" t="s">
        <v>255</v>
      </c>
      <c r="O18" t="s">
        <v>72</v>
      </c>
      <c r="P18" s="25">
        <f>$C$21/2</f>
        <v>6.25E-2</v>
      </c>
      <c r="Q18" s="25">
        <f t="shared" ref="Q18:U18" si="7">$C$21/2</f>
        <v>6.25E-2</v>
      </c>
      <c r="R18" s="25">
        <f t="shared" si="7"/>
        <v>6.25E-2</v>
      </c>
      <c r="S18" s="25">
        <f t="shared" si="7"/>
        <v>6.25E-2</v>
      </c>
      <c r="T18" s="25">
        <f t="shared" si="7"/>
        <v>6.25E-2</v>
      </c>
      <c r="U18" s="27">
        <f t="shared" si="7"/>
        <v>6.25E-2</v>
      </c>
      <c r="V18" s="25">
        <f t="shared" ref="V18:Z18" si="8">$C$21/2</f>
        <v>6.25E-2</v>
      </c>
      <c r="W18" s="25">
        <f t="shared" si="8"/>
        <v>6.25E-2</v>
      </c>
      <c r="X18" s="25">
        <f t="shared" si="8"/>
        <v>6.25E-2</v>
      </c>
      <c r="Y18" s="25">
        <f t="shared" si="8"/>
        <v>6.25E-2</v>
      </c>
      <c r="Z18" s="25">
        <f t="shared" si="8"/>
        <v>6.25E-2</v>
      </c>
      <c r="AA18" s="25">
        <f>$C$21/2</f>
        <v>6.25E-2</v>
      </c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</row>
    <row r="19" spans="1:51" x14ac:dyDescent="0.2">
      <c r="A19" s="90" t="s">
        <v>153</v>
      </c>
      <c r="B19" s="90"/>
      <c r="C19">
        <f>J6</f>
        <v>14</v>
      </c>
      <c r="D19" t="s">
        <v>156</v>
      </c>
      <c r="N19" t="s">
        <v>253</v>
      </c>
      <c r="O19" t="s">
        <v>136</v>
      </c>
      <c r="P19" s="21">
        <f>-P18*$C$34</f>
        <v>-721.875</v>
      </c>
      <c r="Q19" s="21" t="s">
        <v>159</v>
      </c>
      <c r="R19" s="21">
        <f>-R18*$C$34</f>
        <v>-721.875</v>
      </c>
      <c r="S19" s="21">
        <f>-S18*$C$34</f>
        <v>-721.875</v>
      </c>
      <c r="T19" s="21" t="s">
        <v>159</v>
      </c>
      <c r="U19" s="22">
        <f>-U18*$C$34</f>
        <v>-721.875</v>
      </c>
      <c r="V19" s="21">
        <f>-V18*$C$35</f>
        <v>-721.875</v>
      </c>
      <c r="W19" s="21" t="s">
        <v>159</v>
      </c>
      <c r="X19" s="21">
        <f>-X18*$C$35</f>
        <v>-721.875</v>
      </c>
      <c r="Y19" s="21">
        <f>-Y18*$C$35</f>
        <v>-721.875</v>
      </c>
      <c r="Z19" s="21" t="s">
        <v>159</v>
      </c>
      <c r="AA19" s="21">
        <f>-AA18*$C$35</f>
        <v>-721.875</v>
      </c>
      <c r="AK19" s="50"/>
      <c r="AL19" s="50"/>
      <c r="AM19" s="50">
        <f t="shared" ref="AM19:AX19" si="9">P44-P43</f>
        <v>1739.6199562215415</v>
      </c>
      <c r="AN19" s="50">
        <f t="shared" si="9"/>
        <v>791.03140869308299</v>
      </c>
      <c r="AO19" s="50">
        <f t="shared" si="9"/>
        <v>744.93314783203095</v>
      </c>
      <c r="AP19" s="50">
        <f t="shared" si="9"/>
        <v>762.40283617885143</v>
      </c>
      <c r="AQ19" s="50">
        <f t="shared" si="9"/>
        <v>850.42834907226461</v>
      </c>
      <c r="AR19" s="50">
        <f t="shared" si="9"/>
        <v>762.40283617885143</v>
      </c>
      <c r="AS19" s="50">
        <f t="shared" si="9"/>
        <v>1739.6199562215415</v>
      </c>
      <c r="AT19" s="50">
        <f t="shared" si="9"/>
        <v>791.03140869308299</v>
      </c>
      <c r="AU19" s="50">
        <f t="shared" si="9"/>
        <v>744.93314783203095</v>
      </c>
      <c r="AV19" s="50">
        <f t="shared" si="9"/>
        <v>762.40283617885143</v>
      </c>
      <c r="AW19" s="50">
        <f t="shared" si="9"/>
        <v>850.42834907226461</v>
      </c>
      <c r="AX19" s="50">
        <f t="shared" si="9"/>
        <v>762.40283617885143</v>
      </c>
      <c r="AY19" s="50"/>
    </row>
    <row r="20" spans="1:51" x14ac:dyDescent="0.2">
      <c r="A20" s="90" t="s">
        <v>154</v>
      </c>
      <c r="B20" s="90"/>
      <c r="C20">
        <f>J5</f>
        <v>14</v>
      </c>
      <c r="D20" t="s">
        <v>155</v>
      </c>
      <c r="N20" t="s">
        <v>254</v>
      </c>
      <c r="O20" t="s">
        <v>136</v>
      </c>
      <c r="P20" s="18" t="s">
        <v>159</v>
      </c>
      <c r="Q20" s="21">
        <f>-Q18*$C$34</f>
        <v>-721.875</v>
      </c>
      <c r="R20" s="21" t="s">
        <v>159</v>
      </c>
      <c r="S20" s="21" t="s">
        <v>159</v>
      </c>
      <c r="T20" s="21">
        <f>-T18*$C$34</f>
        <v>-721.875</v>
      </c>
      <c r="U20" s="19" t="s">
        <v>159</v>
      </c>
      <c r="V20" s="20" t="s">
        <v>159</v>
      </c>
      <c r="W20" s="21">
        <f>-W18*$C$35</f>
        <v>-721.875</v>
      </c>
      <c r="X20" s="21" t="s">
        <v>159</v>
      </c>
      <c r="Y20" s="21" t="s">
        <v>159</v>
      </c>
      <c r="Z20" s="21">
        <f>-Z18*$C$35</f>
        <v>-721.875</v>
      </c>
      <c r="AA20" s="20" t="s">
        <v>159</v>
      </c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</row>
    <row r="21" spans="1:51" x14ac:dyDescent="0.2">
      <c r="A21" s="90" t="s">
        <v>163</v>
      </c>
      <c r="B21" s="90"/>
      <c r="C21" s="14">
        <f>J2-(2*C10)</f>
        <v>0.125</v>
      </c>
      <c r="D21" t="s">
        <v>160</v>
      </c>
      <c r="N21" s="28" t="s">
        <v>324</v>
      </c>
      <c r="O21" s="29" t="s">
        <v>135</v>
      </c>
      <c r="P21" s="92">
        <f>(-2*$C$41*$C$21)/($C$22^2) +C5</f>
        <v>1.0912698412698347</v>
      </c>
      <c r="Q21" s="92"/>
      <c r="R21" s="92"/>
      <c r="S21" s="92">
        <f>(-2*$C$41*$C$21)/($C$22^2)+C5</f>
        <v>1.0912698412698347</v>
      </c>
      <c r="T21" s="92"/>
      <c r="U21" s="94"/>
      <c r="V21" s="92">
        <f>(-2*$C$42*$C$21)/($C$23^2)+C5</f>
        <v>1.0912698412698347</v>
      </c>
      <c r="W21" s="92"/>
      <c r="X21" s="92"/>
      <c r="Y21" s="92">
        <f>(-2*$C$42*$C$21)/($C$23^2)+C5</f>
        <v>1.0912698412698347</v>
      </c>
      <c r="Z21" s="92"/>
      <c r="AA21" s="94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</row>
    <row r="22" spans="1:51" x14ac:dyDescent="0.2">
      <c r="A22" s="90" t="s">
        <v>164</v>
      </c>
      <c r="B22" s="90"/>
      <c r="C22" s="14">
        <f>J5/2</f>
        <v>7</v>
      </c>
      <c r="D22" t="s">
        <v>161</v>
      </c>
      <c r="N22" s="31" t="s">
        <v>319</v>
      </c>
      <c r="O22" s="3" t="s">
        <v>136</v>
      </c>
      <c r="P22" s="3">
        <f>(0.5)*($P$21*($P$4^2))*P7</f>
        <v>23.061941964285577</v>
      </c>
      <c r="Q22" s="3">
        <f>-(0.5)*($P$21*($P$4^2))*Q7</f>
        <v>-46.123883928571153</v>
      </c>
      <c r="R22" s="3">
        <f>(0.5)*($P$21*($P$4^2))*R7</f>
        <v>62.089843749999623</v>
      </c>
      <c r="S22" s="3">
        <f>(0.5)*($S$21*($S$4^2))*S7</f>
        <v>57.654854910713944</v>
      </c>
      <c r="T22" s="3">
        <f>-(0.5)*($S$21*($S$4^2))*T7</f>
        <v>-31.044921874999812</v>
      </c>
      <c r="U22" s="51">
        <f t="shared" ref="U22" si="10">(0.5)*($S$21*($S$4^2))*U7</f>
        <v>57.654854910713944</v>
      </c>
      <c r="V22" s="3">
        <f>(0.5)*($V$21*($V$4^2))*V7</f>
        <v>23.061941964285577</v>
      </c>
      <c r="W22" s="3">
        <f>-(0.5)*($V$21*($V$4^2))*W7</f>
        <v>-46.123883928571153</v>
      </c>
      <c r="X22" s="3">
        <f t="shared" ref="X22" si="11">(0.5)*($V$21*($V$4^2))*X7</f>
        <v>62.089843749999623</v>
      </c>
      <c r="Y22" s="3">
        <f>(0.5)*($Y$21*($Y$4^2))*Y7</f>
        <v>57.654854910713944</v>
      </c>
      <c r="Z22" s="3">
        <f>-(0.5)*($Y$21*($Y$4^2))*Z7</f>
        <v>-31.044921874999812</v>
      </c>
      <c r="AA22" s="51">
        <f t="shared" ref="AA22" si="12">(0.5)*($Y$21*($Y$4^2))*AA7</f>
        <v>57.654854910713944</v>
      </c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</row>
    <row r="23" spans="1:51" x14ac:dyDescent="0.2">
      <c r="A23" s="90" t="s">
        <v>165</v>
      </c>
      <c r="B23" s="90"/>
      <c r="C23">
        <f>J6/2</f>
        <v>7</v>
      </c>
      <c r="D23" t="s">
        <v>162</v>
      </c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</row>
    <row r="24" spans="1:51" x14ac:dyDescent="0.2">
      <c r="A24" s="90" t="s">
        <v>200</v>
      </c>
      <c r="B24" s="90"/>
      <c r="C24">
        <f>J2-C10-(0.25/12)</f>
        <v>0.27083333333333331</v>
      </c>
      <c r="D24" t="s">
        <v>199</v>
      </c>
      <c r="N24" s="101" t="s">
        <v>258</v>
      </c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</row>
    <row r="25" spans="1:51" x14ac:dyDescent="0.2">
      <c r="A25" s="90" t="s">
        <v>214</v>
      </c>
      <c r="B25" s="90"/>
      <c r="C25">
        <f>4*(C24+J4)</f>
        <v>6.083333333333333</v>
      </c>
      <c r="D25" t="s">
        <v>211</v>
      </c>
      <c r="N25" t="s">
        <v>193</v>
      </c>
      <c r="O25" t="s">
        <v>69</v>
      </c>
      <c r="P25" s="7">
        <f>P12</f>
        <v>-2999.5</v>
      </c>
      <c r="Q25" s="7" t="s">
        <v>159</v>
      </c>
      <c r="R25" s="7">
        <f>R12</f>
        <v>-3449.4249999999997</v>
      </c>
      <c r="S25" s="7">
        <f>S12</f>
        <v>-2999.5</v>
      </c>
      <c r="T25" s="7" t="s">
        <v>159</v>
      </c>
      <c r="U25" s="12">
        <f>U12</f>
        <v>-2999.5</v>
      </c>
      <c r="V25" s="7">
        <f>V12</f>
        <v>-2999.5</v>
      </c>
      <c r="W25" s="7" t="s">
        <v>159</v>
      </c>
      <c r="X25" s="7">
        <f>X12</f>
        <v>-3449.4249999999997</v>
      </c>
      <c r="Y25" s="7">
        <f>Y12</f>
        <v>-2999.5</v>
      </c>
      <c r="Z25" s="7" t="s">
        <v>159</v>
      </c>
      <c r="AA25" s="7">
        <f>AA12</f>
        <v>-2999.5</v>
      </c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</row>
    <row r="26" spans="1:51" x14ac:dyDescent="0.2">
      <c r="A26" s="90" t="s">
        <v>233</v>
      </c>
      <c r="B26" s="90"/>
      <c r="C26">
        <f>C28/C29</f>
        <v>179.14146372359627</v>
      </c>
      <c r="D26" t="s">
        <v>232</v>
      </c>
      <c r="N26" t="s">
        <v>180</v>
      </c>
      <c r="O26" t="s">
        <v>69</v>
      </c>
      <c r="P26" s="7">
        <f t="shared" ref="P26:AA26" si="13">P11</f>
        <v>-2731.6875</v>
      </c>
      <c r="Q26" s="7" t="str">
        <f t="shared" si="13"/>
        <v>x</v>
      </c>
      <c r="R26" s="7">
        <f t="shared" si="13"/>
        <v>-3141.4406249999997</v>
      </c>
      <c r="S26" s="7">
        <f t="shared" si="13"/>
        <v>-2731.6875</v>
      </c>
      <c r="T26" s="7" t="str">
        <f t="shared" si="13"/>
        <v>x</v>
      </c>
      <c r="U26" s="12">
        <f t="shared" si="13"/>
        <v>-2731.6875</v>
      </c>
      <c r="V26" s="7">
        <f t="shared" si="13"/>
        <v>-2731.6875</v>
      </c>
      <c r="W26" s="7" t="str">
        <f t="shared" si="13"/>
        <v>x</v>
      </c>
      <c r="X26" s="7">
        <f t="shared" si="13"/>
        <v>-3141.4406249999997</v>
      </c>
      <c r="Y26" s="7">
        <f t="shared" si="13"/>
        <v>-2731.6875</v>
      </c>
      <c r="Z26" s="7" t="str">
        <f t="shared" si="13"/>
        <v>x</v>
      </c>
      <c r="AA26" s="7">
        <f t="shared" si="13"/>
        <v>-2731.6875</v>
      </c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</row>
    <row r="27" spans="1:51" x14ac:dyDescent="0.2">
      <c r="A27" s="90" t="s">
        <v>217</v>
      </c>
      <c r="B27" s="90"/>
      <c r="C27">
        <f>0.2429*C24</f>
        <v>6.5785416666666666E-2</v>
      </c>
      <c r="D27" t="s">
        <v>218</v>
      </c>
      <c r="N27" t="s">
        <v>194</v>
      </c>
      <c r="O27" t="s">
        <v>136</v>
      </c>
      <c r="P27" s="7">
        <f>P9+P19+P14</f>
        <v>7088.3241964285726</v>
      </c>
      <c r="Q27" s="24" t="s">
        <v>159</v>
      </c>
      <c r="R27" s="24">
        <f>R9+R19+R14</f>
        <v>20305.584374999999</v>
      </c>
      <c r="S27" s="24">
        <f>S9+S19+S14</f>
        <v>18803.622991071428</v>
      </c>
      <c r="T27" s="24" t="s">
        <v>159</v>
      </c>
      <c r="U27" s="12">
        <f>U9+U19+U14</f>
        <v>18803.622991071428</v>
      </c>
      <c r="V27" s="24">
        <f>V9+V19+V14</f>
        <v>7088.3241964285726</v>
      </c>
      <c r="W27" s="24" t="s">
        <v>159</v>
      </c>
      <c r="X27" s="24">
        <f>X9+X19+X14</f>
        <v>20305.584374999999</v>
      </c>
      <c r="Y27" s="24">
        <f>Y9+Y19+Y14</f>
        <v>18803.622991071428</v>
      </c>
      <c r="Z27" s="24" t="s">
        <v>159</v>
      </c>
      <c r="AA27" s="24">
        <f>AA9+AA19+AA14</f>
        <v>18803.622991071428</v>
      </c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</row>
    <row r="28" spans="1:51" x14ac:dyDescent="0.2">
      <c r="A28" s="90" t="s">
        <v>222</v>
      </c>
      <c r="B28" s="90"/>
      <c r="C28">
        <f>(12*(J2*12)^3)/12</f>
        <v>166.375</v>
      </c>
      <c r="D28" t="s">
        <v>223</v>
      </c>
      <c r="N28" t="s">
        <v>181</v>
      </c>
      <c r="O28" t="s">
        <v>136</v>
      </c>
      <c r="P28" s="7" t="s">
        <v>159</v>
      </c>
      <c r="Q28" s="7">
        <f>Q10+Q20+Q15</f>
        <v>-16342.273392857145</v>
      </c>
      <c r="R28" s="24" t="s">
        <v>159</v>
      </c>
      <c r="S28" s="24" t="s">
        <v>159</v>
      </c>
      <c r="T28" s="24">
        <f>T10+T20+T15</f>
        <v>-11235.604687499999</v>
      </c>
      <c r="U28" s="12" t="s">
        <v>159</v>
      </c>
      <c r="V28" s="24" t="s">
        <v>159</v>
      </c>
      <c r="W28" s="24">
        <f>W10+W20+W15</f>
        <v>-16342.273392857145</v>
      </c>
      <c r="X28" s="24" t="s">
        <v>159</v>
      </c>
      <c r="Y28" s="24" t="s">
        <v>159</v>
      </c>
      <c r="Z28" s="24">
        <f>Z10+Z20+Z15</f>
        <v>-11235.604687499999</v>
      </c>
      <c r="AA28" s="7" t="s">
        <v>159</v>
      </c>
      <c r="AK28" s="50"/>
      <c r="AL28" s="50"/>
      <c r="AM28" s="50"/>
      <c r="AN28" s="50"/>
      <c r="AO28" s="50"/>
      <c r="AP28" s="50"/>
      <c r="AQ28" s="50"/>
      <c r="AR28" s="50"/>
    </row>
    <row r="29" spans="1:51" x14ac:dyDescent="0.2">
      <c r="A29" s="90" t="s">
        <v>231</v>
      </c>
      <c r="B29" s="90"/>
      <c r="C29">
        <f>(C27/0.85)*12</f>
        <v>0.9287352941176471</v>
      </c>
      <c r="D29" t="s">
        <v>230</v>
      </c>
      <c r="P29" s="7"/>
      <c r="Q29" s="7"/>
      <c r="R29" s="7"/>
      <c r="S29" s="7"/>
      <c r="T29" s="7"/>
      <c r="U29" s="12"/>
      <c r="V29" s="7"/>
      <c r="W29" s="7"/>
      <c r="X29" s="7"/>
      <c r="Y29" s="7"/>
      <c r="Z29" s="7"/>
      <c r="AA29" s="7"/>
      <c r="AK29" s="50"/>
      <c r="AL29" s="50"/>
      <c r="AM29" s="50"/>
      <c r="AN29" s="50"/>
      <c r="AO29" s="50"/>
      <c r="AP29" s="50"/>
      <c r="AQ29" s="50"/>
      <c r="AR29" s="50"/>
    </row>
    <row r="30" spans="1:51" x14ac:dyDescent="0.2">
      <c r="A30" s="89" t="s">
        <v>99</v>
      </c>
      <c r="B30" s="89"/>
      <c r="C30" s="1" t="s">
        <v>34</v>
      </c>
      <c r="D30" s="1" t="s">
        <v>39</v>
      </c>
      <c r="N30" t="s">
        <v>185</v>
      </c>
      <c r="O30" t="s">
        <v>197</v>
      </c>
      <c r="P30" s="7">
        <v>1</v>
      </c>
      <c r="Q30" s="7">
        <v>0.6</v>
      </c>
      <c r="R30" s="7">
        <v>0.75</v>
      </c>
      <c r="S30" s="7">
        <v>0.75</v>
      </c>
      <c r="T30" s="7">
        <v>0.6</v>
      </c>
      <c r="U30" s="12">
        <v>0.75</v>
      </c>
      <c r="V30" s="7">
        <v>1</v>
      </c>
      <c r="W30" s="7">
        <v>0.6</v>
      </c>
      <c r="X30" s="7">
        <v>0.75</v>
      </c>
      <c r="Y30" s="7">
        <v>0.75</v>
      </c>
      <c r="Z30" s="7">
        <v>0.6</v>
      </c>
      <c r="AA30" s="7">
        <v>0.75</v>
      </c>
      <c r="AK30" s="50"/>
      <c r="AL30" s="50"/>
      <c r="AM30" s="50"/>
      <c r="AN30" s="50"/>
      <c r="AO30" s="50"/>
      <c r="AP30" s="50"/>
      <c r="AQ30" s="50"/>
      <c r="AR30" s="50"/>
    </row>
    <row r="31" spans="1:51" x14ac:dyDescent="0.2">
      <c r="A31" s="102" t="s">
        <v>170</v>
      </c>
      <c r="B31" s="102"/>
      <c r="C31" s="5">
        <f>(1.4*C6)+P6</f>
        <v>198.32142857142856</v>
      </c>
      <c r="D31" s="5" t="s">
        <v>171</v>
      </c>
      <c r="N31" t="s">
        <v>196</v>
      </c>
      <c r="O31" t="s">
        <v>136</v>
      </c>
      <c r="P31" s="7">
        <f>P27*P30</f>
        <v>7088.3241964285726</v>
      </c>
      <c r="Q31" s="7">
        <f>Q28*Q30</f>
        <v>-9805.3640357142867</v>
      </c>
      <c r="R31" s="7">
        <f>R27*R30</f>
        <v>15229.188281249999</v>
      </c>
      <c r="S31" s="7">
        <f>S27*S30</f>
        <v>14102.71724330357</v>
      </c>
      <c r="T31" s="7">
        <f>T28*T30</f>
        <v>-6741.3628124999996</v>
      </c>
      <c r="U31" s="12">
        <f>U27*U30</f>
        <v>14102.71724330357</v>
      </c>
      <c r="V31" s="7">
        <f>V27*V30</f>
        <v>7088.3241964285726</v>
      </c>
      <c r="W31" s="7">
        <f>W28*W30</f>
        <v>-9805.3640357142867</v>
      </c>
      <c r="X31" s="7">
        <f>X27*X30</f>
        <v>15229.188281249999</v>
      </c>
      <c r="Y31" s="7">
        <f>Y27*Y30</f>
        <v>14102.71724330357</v>
      </c>
      <c r="Z31" s="7">
        <f>Z28*Z30</f>
        <v>-6741.3628124999996</v>
      </c>
      <c r="AA31" s="7">
        <f>AA27*AA30</f>
        <v>14102.71724330357</v>
      </c>
      <c r="AK31" s="50"/>
      <c r="AL31" s="50"/>
      <c r="AM31" s="50"/>
      <c r="AN31" s="50"/>
      <c r="AO31" s="50"/>
      <c r="AP31" s="50"/>
      <c r="AQ31" s="50"/>
      <c r="AR31" s="50"/>
    </row>
    <row r="32" spans="1:51" x14ac:dyDescent="0.2">
      <c r="A32" s="90" t="s">
        <v>157</v>
      </c>
      <c r="B32" s="90"/>
      <c r="C32" s="5">
        <f>(1.2*C6)+(1.6*C7)</f>
        <v>428.5</v>
      </c>
      <c r="D32" t="s">
        <v>245</v>
      </c>
      <c r="N32" t="s">
        <v>235</v>
      </c>
      <c r="O32" t="s">
        <v>146</v>
      </c>
      <c r="P32" s="7">
        <f>IF((ABS(P31/(4000*$C24*12))-$P17)&gt;0,ABS(P31/(4000*$C24*12))-$P17,0)</f>
        <v>0.47980570741758255</v>
      </c>
      <c r="Q32" s="7">
        <f>IF((ABS(Q31/(4000*$C24*12))-$P17)&gt;0,ABS(Q31/(4000*$C24*12))-$P17,0)</f>
        <v>0.68880877197802204</v>
      </c>
      <c r="R32" s="7">
        <f>IF((ABS(R31/(4000*$C24*12))-$P17)&gt;0,ABS(R31/(4000*$C24*12))-$P17,0)</f>
        <v>1.1060260216346154</v>
      </c>
      <c r="S32" s="7">
        <f>IF((ABS(S31/(4000*$C24*12))-$S17)&gt;0,ABS(S31/(4000*$C24*12))-$S17,0)</f>
        <v>1.0193744033310439</v>
      </c>
      <c r="T32" s="7">
        <f>IF((ABS(T31/(4000*$C24*12))-$S17)&gt;0,ABS(T31/(4000*$C24*12))-$S17,0)</f>
        <v>0.45311637019230766</v>
      </c>
      <c r="U32" s="12">
        <f>IF((ABS(U31/(4000*$C24*12))-$S17)&gt;0,ABS(U31/(4000*$C24*12))-$S17,0)</f>
        <v>1.0193744033310439</v>
      </c>
      <c r="V32" s="7">
        <f>IF((ABS(V31/(4000*$C24*12))-$V17)&gt;0,ABS(V31/(4000*$C24*12))-$V17,0)</f>
        <v>0.47980570741758255</v>
      </c>
      <c r="W32" s="7">
        <f>IF((ABS(W31/(4000*$C24*12))-$V17)&gt;0,ABS(W31/(4000*$C24*12))-$V17,0)</f>
        <v>0.68880877197802204</v>
      </c>
      <c r="X32" s="7">
        <f>IF((ABS(X31/(4000*$C24*12))-$V17)&gt;0,ABS(X31/(4000*$C24*12))-$V17,0)</f>
        <v>1.1060260216346154</v>
      </c>
      <c r="Y32" s="7">
        <f>IF((ABS(Y31/(4000*$C24*12))-$Y17)&gt;0,ABS(Y31/(4000*$C24*12))-$Y17,0)</f>
        <v>1.0193744033310439</v>
      </c>
      <c r="Z32" s="7">
        <f>IF((ABS(Z31/(4000*$C24*12))-$Y17)&gt;0,ABS(Z31/(4000*$C24*12))-$Y17,0)</f>
        <v>0.45311637019230766</v>
      </c>
      <c r="AA32" s="7">
        <f>IF((ABS(AA31/(4000*$C24*12))-$Y17)&gt;0,ABS(AA31/(4000*$C24*12))-$Y17,0)</f>
        <v>1.0193744033310439</v>
      </c>
      <c r="AK32" s="50"/>
      <c r="AL32" s="50"/>
      <c r="AM32" s="50"/>
      <c r="AN32" s="50"/>
      <c r="AO32" s="50"/>
      <c r="AP32" s="50"/>
      <c r="AQ32" s="50"/>
      <c r="AR32" s="50"/>
    </row>
    <row r="33" spans="1:44" x14ac:dyDescent="0.2">
      <c r="A33" s="90" t="s">
        <v>167</v>
      </c>
      <c r="B33" s="90"/>
      <c r="C33" s="5">
        <f>1*C6</f>
        <v>183.75</v>
      </c>
      <c r="D33" t="s">
        <v>310</v>
      </c>
      <c r="N33" t="s">
        <v>186</v>
      </c>
      <c r="O33" t="s">
        <v>136</v>
      </c>
      <c r="P33" s="7">
        <f>P27*(1-P30)</f>
        <v>0</v>
      </c>
      <c r="Q33" s="7">
        <f>Q28*(1-Q30)</f>
        <v>-6536.9093571428584</v>
      </c>
      <c r="R33" s="7">
        <f>R27*(1-R30)</f>
        <v>5076.3960937499996</v>
      </c>
      <c r="S33" s="7">
        <f>S27*(1-S30)</f>
        <v>4700.9057477678571</v>
      </c>
      <c r="T33" s="7">
        <f>T28*(1-T30)</f>
        <v>-4494.2418749999997</v>
      </c>
      <c r="U33" s="12">
        <f>U27*(1-U30)</f>
        <v>4700.9057477678571</v>
      </c>
      <c r="V33" s="7">
        <f>V27*(1-V30)</f>
        <v>0</v>
      </c>
      <c r="W33" s="7">
        <f>W28*(1-W30)</f>
        <v>-6536.9093571428584</v>
      </c>
      <c r="X33" s="7">
        <f>X27*(1-X30)</f>
        <v>5076.3960937499996</v>
      </c>
      <c r="Y33" s="7">
        <f>Y27*(1-Y30)</f>
        <v>4700.9057477678571</v>
      </c>
      <c r="Z33" s="7">
        <f>Z28*(1-Z30)</f>
        <v>-4494.2418749999997</v>
      </c>
      <c r="AA33" s="7">
        <f>AA27*(1-AA30)</f>
        <v>4700.9057477678571</v>
      </c>
      <c r="AK33" s="50"/>
      <c r="AL33" s="50"/>
      <c r="AM33" s="50"/>
      <c r="AN33" s="50"/>
      <c r="AO33" s="50"/>
      <c r="AP33" s="50"/>
      <c r="AQ33" s="50"/>
      <c r="AR33" s="50"/>
    </row>
    <row r="34" spans="1:44" x14ac:dyDescent="0.2">
      <c r="A34" s="90" t="s">
        <v>168</v>
      </c>
      <c r="B34" s="90"/>
      <c r="C34">
        <f>J12*J2*144</f>
        <v>11550</v>
      </c>
      <c r="D34" t="s">
        <v>256</v>
      </c>
      <c r="N34" t="s">
        <v>236</v>
      </c>
      <c r="O34" t="s">
        <v>146</v>
      </c>
      <c r="P34" s="7">
        <f>IF((ABS(P33/(4000*$C24*12))-$P17)&gt;0,ABS(P33/(4000*$C24*12))-$P17,0)</f>
        <v>0</v>
      </c>
      <c r="Q34" s="7">
        <f>IF((ABS(Q33/(4000*$C24*12))-$P17)&gt;0,ABS(Q33/(4000*$C24*12))-$P17,0)</f>
        <v>0.43738918131868143</v>
      </c>
      <c r="R34" s="7">
        <f>IF((ABS(R33/(4000*$C24*12))-$P17)&gt;0,ABS(R33/(4000*$C24*12))-$P17,0)</f>
        <v>0.32504200721153842</v>
      </c>
      <c r="S34" s="7">
        <f>IF((ABS(S33/(4000*$C24*12))-$S17)&gt;0,ABS(S33/(4000*$C24*12))-$S17,0)</f>
        <v>0.29615813444368133</v>
      </c>
      <c r="T34" s="7">
        <f>IF((ABS(T33/(4000*$C24*12))-$S17)&gt;0,ABS(T33/(4000*$C24*12))-$S17,0)</f>
        <v>0.28026091346153842</v>
      </c>
      <c r="U34" s="12">
        <f>IF((ABS(U33/(4000*$C24*12))-$S17)&gt;0,ABS(U33/(4000*$C24*12))-$S17,0)</f>
        <v>0.29615813444368133</v>
      </c>
      <c r="V34" s="7">
        <f>IF((ABS(V33/(4000*$C24*12))-$V17)&gt;0,ABS(V33/(4000*$C24*12))-$V17,0)</f>
        <v>0</v>
      </c>
      <c r="W34" s="7">
        <f>IF((ABS(W33/(4000*$C24*12))-$V17)&gt;0,ABS(W33/(4000*$C24*12))-$V17,0)</f>
        <v>0.43738918131868143</v>
      </c>
      <c r="X34" s="7">
        <f>IF((ABS(X33/(4000*$C24*12))-$V17)&gt;0,ABS(X33/(4000*$C24*12))-$V17,0)</f>
        <v>0.32504200721153842</v>
      </c>
      <c r="Y34" s="7">
        <f>IF((ABS(Y33/(4000*$C24*12))-$Y17)&gt;0,ABS(Y33/(4000*$C24*12))-$Y17,0)</f>
        <v>0.29615813444368133</v>
      </c>
      <c r="Z34" s="7">
        <f>IF((ABS(Z33/(4000*$C24*12))-$Y17)&gt;0,ABS(Z33/(4000*$C24*12))-$Y17,0)</f>
        <v>0.28026091346153842</v>
      </c>
      <c r="AA34" s="7">
        <f>IF((ABS(AA33/(4000*$C24*12))-$Y17)&gt;0,ABS(AA33/(4000*$C24*12))-$Y17,0)</f>
        <v>0.29615813444368133</v>
      </c>
      <c r="AK34" s="50"/>
      <c r="AL34" s="50"/>
      <c r="AM34" s="50"/>
      <c r="AN34" s="50"/>
      <c r="AO34" s="50"/>
      <c r="AP34" s="50"/>
      <c r="AQ34" s="50"/>
      <c r="AR34" s="50"/>
    </row>
    <row r="35" spans="1:44" x14ac:dyDescent="0.2">
      <c r="A35" s="90" t="s">
        <v>169</v>
      </c>
      <c r="B35" s="90"/>
      <c r="C35">
        <f>J12*J2*144</f>
        <v>11550</v>
      </c>
      <c r="D35" t="s">
        <v>257</v>
      </c>
      <c r="P35" s="7"/>
      <c r="Q35" s="7"/>
      <c r="R35" s="7"/>
      <c r="S35" s="7"/>
      <c r="T35" s="7"/>
      <c r="U35" s="12"/>
      <c r="V35" s="7"/>
      <c r="W35" s="7"/>
      <c r="X35" s="7"/>
      <c r="Y35" s="7"/>
      <c r="Z35" s="7"/>
      <c r="AA35" s="7"/>
      <c r="AK35" s="50"/>
      <c r="AL35" s="50"/>
      <c r="AM35" s="50"/>
      <c r="AN35" s="50"/>
      <c r="AO35" s="50"/>
      <c r="AP35" s="50"/>
      <c r="AQ35" s="50"/>
      <c r="AR35" s="50"/>
    </row>
    <row r="36" spans="1:44" x14ac:dyDescent="0.2">
      <c r="A36" s="90" t="s">
        <v>247</v>
      </c>
      <c r="B36" s="90"/>
      <c r="C36">
        <v>27000</v>
      </c>
      <c r="D36" t="s">
        <v>248</v>
      </c>
      <c r="N36" s="16" t="s">
        <v>26</v>
      </c>
      <c r="O36" s="16" t="s">
        <v>4</v>
      </c>
      <c r="P36" s="7"/>
      <c r="Q36" s="7"/>
      <c r="R36" s="7"/>
      <c r="S36" s="7"/>
      <c r="T36" s="7"/>
      <c r="U36" s="12"/>
      <c r="V36" s="7"/>
      <c r="W36" s="7"/>
      <c r="X36" s="7"/>
      <c r="Y36" s="7"/>
      <c r="Z36" s="7"/>
      <c r="AA36" s="7"/>
      <c r="AB36" s="16" t="s">
        <v>212</v>
      </c>
      <c r="AC36" s="16" t="s">
        <v>28</v>
      </c>
      <c r="AD36" s="16" t="s">
        <v>27</v>
      </c>
      <c r="AK36" s="50"/>
      <c r="AL36" s="50"/>
      <c r="AM36" s="50"/>
      <c r="AN36" s="50"/>
      <c r="AO36" s="50"/>
      <c r="AP36" s="50"/>
      <c r="AQ36" s="50"/>
      <c r="AR36" s="50"/>
    </row>
    <row r="37" spans="1:44" x14ac:dyDescent="0.2">
      <c r="A37" s="90" t="s">
        <v>224</v>
      </c>
      <c r="B37" s="90"/>
      <c r="C37">
        <f>(57*1000)*SQRT(J9)</f>
        <v>3823676.24152464</v>
      </c>
      <c r="D37" t="s">
        <v>225</v>
      </c>
      <c r="N37" s="17" t="s">
        <v>262</v>
      </c>
      <c r="O37" t="s">
        <v>81</v>
      </c>
      <c r="P37" s="83">
        <f>(12*ABS(P22)/$C$26)+$J$12</f>
        <v>176.5448310950413</v>
      </c>
      <c r="Q37" s="83">
        <f t="shared" ref="Q37:AA37" si="14">(12*ABS(Q22)/$C$26)+$J$12</f>
        <v>178.08966219008263</v>
      </c>
      <c r="R37" s="83">
        <f t="shared" si="14"/>
        <v>179.15916064049586</v>
      </c>
      <c r="S37" s="83">
        <f t="shared" si="14"/>
        <v>178.86207773760327</v>
      </c>
      <c r="T37" s="83">
        <f t="shared" si="14"/>
        <v>177.07958032024791</v>
      </c>
      <c r="U37" s="84">
        <f t="shared" si="14"/>
        <v>178.86207773760327</v>
      </c>
      <c r="V37" s="83">
        <f t="shared" si="14"/>
        <v>176.5448310950413</v>
      </c>
      <c r="W37" s="83">
        <f t="shared" si="14"/>
        <v>178.08966219008263</v>
      </c>
      <c r="X37" s="83">
        <f t="shared" si="14"/>
        <v>179.15916064049586</v>
      </c>
      <c r="Y37" s="83">
        <f t="shared" si="14"/>
        <v>178.86207773760327</v>
      </c>
      <c r="Z37" s="83">
        <f t="shared" si="14"/>
        <v>177.07958032024791</v>
      </c>
      <c r="AA37" s="83">
        <f t="shared" si="14"/>
        <v>178.86207773760327</v>
      </c>
      <c r="AB37" s="17">
        <f>0.85*J10</f>
        <v>2550</v>
      </c>
      <c r="AC37" t="b">
        <f>IF(AB37&gt;=MAX(P37:AA37),TRUE,FALSE)</f>
        <v>1</v>
      </c>
      <c r="AD37" s="16"/>
      <c r="AK37" s="50"/>
      <c r="AL37" s="50"/>
      <c r="AM37" s="50"/>
      <c r="AN37" s="50"/>
      <c r="AO37" s="50"/>
      <c r="AP37" s="50"/>
      <c r="AQ37" s="50"/>
      <c r="AR37" s="50"/>
    </row>
    <row r="38" spans="1:44" x14ac:dyDescent="0.2">
      <c r="A38" s="90" t="s">
        <v>226</v>
      </c>
      <c r="B38" s="90"/>
      <c r="C38">
        <f>1728*0.007/C37/C28</f>
        <v>1.9013960926946689E-8</v>
      </c>
      <c r="D38" t="s">
        <v>228</v>
      </c>
      <c r="N38" s="17" t="s">
        <v>220</v>
      </c>
      <c r="O38" t="s">
        <v>146</v>
      </c>
      <c r="P38" s="83">
        <f>(P32/2+P34/2+$P17)*$C$19</f>
        <v>4.274939951923078</v>
      </c>
      <c r="Q38" s="83">
        <f>(Q32/2+Q34/2+$P17)*$C$19</f>
        <v>8.7996856730769242</v>
      </c>
      <c r="R38" s="83">
        <f>(R32/2+R34/2+$P17)*$C$19</f>
        <v>10.933776201923076</v>
      </c>
      <c r="S38" s="83">
        <f>(S32/2+S34/2+$S17)*$C$19</f>
        <v>10.125027764423077</v>
      </c>
      <c r="T38" s="83">
        <f>(T32/2+T34/2+$S17)*$C$19</f>
        <v>6.0499409855769226</v>
      </c>
      <c r="U38" s="84">
        <f>(U32/2+U34/2+$S17)*$C$19</f>
        <v>10.125027764423077</v>
      </c>
      <c r="V38" s="83">
        <f>(V32/2+V34/2+$V17)*$C$19</f>
        <v>4.274939951923078</v>
      </c>
      <c r="W38" s="83">
        <f>(W32/2+W34/2+$V17)*$C$19</f>
        <v>8.7996856730769242</v>
      </c>
      <c r="X38" s="83">
        <f>(X32/2+X34/2+$V17)*$C$19</f>
        <v>10.933776201923076</v>
      </c>
      <c r="Y38" s="83">
        <f>(Y32/2+Y34/2+$Y17)*$C$19</f>
        <v>10.125027764423077</v>
      </c>
      <c r="Z38" s="83">
        <f>(Z32/2+Z34/2+$Y17)*$C$19</f>
        <v>6.0499409855769226</v>
      </c>
      <c r="AA38" s="83">
        <f>(AA32/2+AA34/2+$Y17)*$C$19</f>
        <v>10.125027764423077</v>
      </c>
      <c r="AB38">
        <f>0.00075*(J2*MAX(J5,J6)*144)</f>
        <v>0.69299999999999995</v>
      </c>
      <c r="AC38" t="b">
        <f>IF(AB38&lt;=MIN(P38:AA38),TRUE,FALSE)</f>
        <v>1</v>
      </c>
      <c r="AD38" s="4" t="s">
        <v>216</v>
      </c>
      <c r="AK38" s="50"/>
      <c r="AL38" s="50"/>
    </row>
    <row r="39" spans="1:44" x14ac:dyDescent="0.2">
      <c r="A39" s="90" t="s">
        <v>227</v>
      </c>
      <c r="B39" s="90"/>
      <c r="C39">
        <f>0.01*1728/C37/C28</f>
        <v>2.7162801324209559E-8</v>
      </c>
      <c r="D39" t="s">
        <v>228</v>
      </c>
      <c r="N39" s="17" t="s">
        <v>229</v>
      </c>
      <c r="O39" t="s">
        <v>81</v>
      </c>
      <c r="P39" s="83">
        <f>(12*ABS(P31)/$C26)+J12</f>
        <v>649.81966814999782</v>
      </c>
      <c r="Q39" s="83">
        <f>(12*ABS(Q31)/$C26)+J12</f>
        <v>831.82375248490757</v>
      </c>
      <c r="R39" s="83">
        <f>(12*ABS(R31)/$C26)+J12</f>
        <v>1195.1449490050604</v>
      </c>
      <c r="S39" s="83">
        <f>(12*ABS(S31)/$C26)+J12</f>
        <v>1119.6869719718147</v>
      </c>
      <c r="T39" s="83">
        <f>(12*ABS(T31)/$C26)+J12</f>
        <v>626.57805495447917</v>
      </c>
      <c r="U39" s="84">
        <f>(12*ABS(U31)/$C26)+J12</f>
        <v>1119.6869719718147</v>
      </c>
      <c r="V39" s="83">
        <f>(12*ABS(V31)/$C26)+J12</f>
        <v>649.81966814999782</v>
      </c>
      <c r="W39" s="83">
        <f>(12*ABS(W31)/$C26)+J12</f>
        <v>831.82375248490757</v>
      </c>
      <c r="X39" s="83">
        <f>(12*ABS(X31)/$C26)+J12</f>
        <v>1195.1449490050604</v>
      </c>
      <c r="Y39" s="83">
        <f>(12*ABS(Y31)/$C26)+J12</f>
        <v>1119.6869719718147</v>
      </c>
      <c r="Z39" s="83">
        <f>(12*ABS(Z31)/$C26)+J12</f>
        <v>626.57805495447917</v>
      </c>
      <c r="AA39" s="83">
        <f>(12*ABS(AA31)/$C26)+J12</f>
        <v>1119.6869719718147</v>
      </c>
      <c r="AB39">
        <f>0.85*J9</f>
        <v>3825</v>
      </c>
      <c r="AC39" t="b">
        <f>IF(AB39&gt;MAX(P39:AA39),TRUE,FALSE)</f>
        <v>1</v>
      </c>
      <c r="AD39" s="4" t="s">
        <v>216</v>
      </c>
    </row>
    <row r="40" spans="1:44" x14ac:dyDescent="0.2">
      <c r="A40" s="90" t="s">
        <v>246</v>
      </c>
      <c r="B40" s="90"/>
      <c r="C40">
        <v>31000</v>
      </c>
      <c r="D40" t="s">
        <v>249</v>
      </c>
      <c r="N40" s="17" t="s">
        <v>316</v>
      </c>
      <c r="O40" t="s">
        <v>69</v>
      </c>
      <c r="P40" s="81">
        <f>P43*(($C$24-($J$2/2))/($C$28/20736))*$J$2*1</f>
        <v>16871.38321133412</v>
      </c>
      <c r="Q40" s="81">
        <f t="shared" ref="Q40:Z40" si="15">Q43*(($C$24-($J$2/2))/($C$28/20736))*$J$2*1</f>
        <v>38897.311877213695</v>
      </c>
      <c r="R40" s="81">
        <f t="shared" si="15"/>
        <v>48330.647107438002</v>
      </c>
      <c r="S40" s="81">
        <f t="shared" si="15"/>
        <v>44755.73075560802</v>
      </c>
      <c r="T40" s="81">
        <f t="shared" si="15"/>
        <v>26742.596280991729</v>
      </c>
      <c r="U40" s="82">
        <f t="shared" si="15"/>
        <v>44755.73075560802</v>
      </c>
      <c r="V40" s="81">
        <f t="shared" si="15"/>
        <v>16871.38321133412</v>
      </c>
      <c r="W40" s="81">
        <f t="shared" si="15"/>
        <v>38897.311877213695</v>
      </c>
      <c r="X40" s="81">
        <f t="shared" si="15"/>
        <v>48330.647107438002</v>
      </c>
      <c r="Y40" s="81">
        <f t="shared" si="15"/>
        <v>44755.73075560802</v>
      </c>
      <c r="Z40" s="81">
        <f t="shared" si="15"/>
        <v>26742.596280991729</v>
      </c>
      <c r="AA40" s="81">
        <f>AA43*(($C$24-($J$2/2))/($C$28/20736))*$J$2*1</f>
        <v>44755.73075560802</v>
      </c>
      <c r="AB40" t="s">
        <v>159</v>
      </c>
      <c r="AC40" t="s">
        <v>159</v>
      </c>
      <c r="AD40" s="4"/>
    </row>
    <row r="41" spans="1:44" x14ac:dyDescent="0.2">
      <c r="A41" s="90" t="s">
        <v>320</v>
      </c>
      <c r="B41" s="90"/>
      <c r="C41">
        <f>C40*(P17/J13)</f>
        <v>13261.111111111111</v>
      </c>
      <c r="D41" t="s">
        <v>322</v>
      </c>
      <c r="N41" s="17" t="s">
        <v>317</v>
      </c>
      <c r="O41" t="s">
        <v>69</v>
      </c>
      <c r="P41" s="81">
        <f>($J$15*P17)+($J$14*(P50+P51)/$C$19)</f>
        <v>41223.84244505495</v>
      </c>
      <c r="Q41" s="81">
        <f>($J$15*P17)+($J$14*(Q50+Q51)/$C$19)</f>
        <v>80007.377197802212</v>
      </c>
      <c r="R41" s="81">
        <f>($J$15*P17)+($J$14*(R50+R51)/$C$19)</f>
        <v>98299.58173076922</v>
      </c>
      <c r="S41" s="81">
        <f>($J$15*S17)+($J$14*(R50+R51)/$C$19)</f>
        <v>98299.58173076922</v>
      </c>
      <c r="T41" s="81">
        <f>($J$15*S17)+($J$14*(T50+T51)/$C$19)</f>
        <v>56438.137019230766</v>
      </c>
      <c r="U41" s="82">
        <f>($J$15*S17)+($J$14*(U50+U51)/$C$19)</f>
        <v>91367.452266483524</v>
      </c>
      <c r="V41" s="81">
        <f>($J$15*V17)+($J$14*(V50+V51)/$C$20)</f>
        <v>41223.84244505495</v>
      </c>
      <c r="W41" s="81">
        <f>($J$15*V17)+($J$14*(W50+W51)/$C$20)</f>
        <v>80007.377197802212</v>
      </c>
      <c r="X41" s="81">
        <f>($J$15*V17)+($J$14*(X50+X51)/$C$20)</f>
        <v>98299.58173076922</v>
      </c>
      <c r="Y41" s="81">
        <f>($J$15*Y17)+($J$14*(X50+X51)/$C$20)</f>
        <v>98299.58173076922</v>
      </c>
      <c r="Z41" s="81">
        <f>($J$15*Y17)+($J$14*(Z50+Z51)/$C$20)</f>
        <v>56438.137019230766</v>
      </c>
      <c r="AA41" s="81">
        <f>($J$15*Y17)+($J$14*(AA50+AA51)/$C$20)</f>
        <v>91367.452266483524</v>
      </c>
      <c r="AB41" t="s">
        <v>159</v>
      </c>
      <c r="AC41" s="34">
        <f>COUNTIF(AM15:AX15, "&lt;0")</f>
        <v>0</v>
      </c>
      <c r="AD41" s="4"/>
      <c r="AI41" s="97"/>
      <c r="AJ41" s="97"/>
      <c r="AK41" s="97"/>
      <c r="AL41" s="97"/>
    </row>
    <row r="42" spans="1:44" x14ac:dyDescent="0.2">
      <c r="A42" s="90" t="s">
        <v>321</v>
      </c>
      <c r="B42" s="90"/>
      <c r="C42">
        <f>C40*(V17/J13)</f>
        <v>13261.111111111111</v>
      </c>
      <c r="D42" t="s">
        <v>323</v>
      </c>
      <c r="N42" s="17" t="s">
        <v>182</v>
      </c>
      <c r="O42" t="s">
        <v>140</v>
      </c>
      <c r="P42" s="85" t="s">
        <v>159</v>
      </c>
      <c r="Q42" s="83">
        <f>(2*$C38*$C6*($J5^4))+(2*$C39*$C7*($J5^4))</f>
        <v>0.53974322436573907</v>
      </c>
      <c r="R42" s="83" t="s">
        <v>159</v>
      </c>
      <c r="S42" s="83" t="s">
        <v>159</v>
      </c>
      <c r="T42" s="83">
        <f>(2*$C38*$C6*($J5^4))+(2*$C39*$C7*($J5^4))</f>
        <v>0.53974322436573907</v>
      </c>
      <c r="U42" s="84" t="s">
        <v>159</v>
      </c>
      <c r="V42" s="86" t="s">
        <v>159</v>
      </c>
      <c r="W42" s="83">
        <f>(2*$C38*$C6*($J6^4))+(2*$C39*$C7*($J6^4))</f>
        <v>0.53974322436573907</v>
      </c>
      <c r="X42" s="83" t="s">
        <v>159</v>
      </c>
      <c r="Y42" s="83" t="s">
        <v>159</v>
      </c>
      <c r="Z42" s="83">
        <f>(2*$C38*$C6*($J6^4))+(2*$C39*$C7*($J6^4))</f>
        <v>0.53974322436573907</v>
      </c>
      <c r="AA42" s="83" t="s">
        <v>159</v>
      </c>
      <c r="AB42">
        <f>MAX(J5,J6)*12/240</f>
        <v>0.7</v>
      </c>
      <c r="AC42" t="b">
        <f>IF(AB42&gt;MAX(P42:AA42),TRUE,FALSE)</f>
        <v>1</v>
      </c>
      <c r="AD42" s="4" t="s">
        <v>221</v>
      </c>
      <c r="AI42" s="97"/>
      <c r="AJ42" s="97"/>
      <c r="AK42" s="97"/>
      <c r="AL42" s="97"/>
    </row>
    <row r="43" spans="1:44" x14ac:dyDescent="0.2">
      <c r="A43" s="90"/>
      <c r="B43" s="90"/>
      <c r="N43" s="17" t="s">
        <v>183</v>
      </c>
      <c r="O43" t="s">
        <v>136</v>
      </c>
      <c r="P43" s="81">
        <f>P27</f>
        <v>7088.3241964285726</v>
      </c>
      <c r="Q43" s="81">
        <f>ABS(Q28)</f>
        <v>16342.273392857145</v>
      </c>
      <c r="R43" s="81">
        <f>R27</f>
        <v>20305.584374999999</v>
      </c>
      <c r="S43" s="81">
        <f>S27</f>
        <v>18803.622991071428</v>
      </c>
      <c r="T43" s="81">
        <f>ABS(T28)</f>
        <v>11235.604687499999</v>
      </c>
      <c r="U43" s="82">
        <f>U27</f>
        <v>18803.622991071428</v>
      </c>
      <c r="V43" s="81">
        <f>V27</f>
        <v>7088.3241964285726</v>
      </c>
      <c r="W43" s="81">
        <f>ABS(W28)</f>
        <v>16342.273392857145</v>
      </c>
      <c r="X43" s="81">
        <f>X27</f>
        <v>20305.584374999999</v>
      </c>
      <c r="Y43" s="81">
        <f>Y27</f>
        <v>18803.622991071428</v>
      </c>
      <c r="Z43" s="81">
        <f>ABS(Z28)</f>
        <v>11235.604687499999</v>
      </c>
      <c r="AA43" s="81">
        <f>AA27</f>
        <v>18803.622991071428</v>
      </c>
      <c r="AB43" s="5" t="s">
        <v>159</v>
      </c>
      <c r="AC43" t="s">
        <v>159</v>
      </c>
      <c r="AD43" t="s">
        <v>219</v>
      </c>
    </row>
    <row r="44" spans="1:44" x14ac:dyDescent="0.2">
      <c r="N44" s="17" t="s">
        <v>261</v>
      </c>
      <c r="O44" t="s">
        <v>135</v>
      </c>
      <c r="P44" s="81">
        <f>0.9*($J$15*P17+(P32+P34)*$J$14)*($C$24-($C$27/2))</f>
        <v>8827.9441526501141</v>
      </c>
      <c r="Q44" s="81">
        <f>0.9*($J$15*P17+(Q32+Q34)*$J$14)*($C$24-($C$27/2))</f>
        <v>17133.304801550228</v>
      </c>
      <c r="R44" s="81">
        <f>0.9*($J$15*P17+(R32+R34)*$J$14)*($C$24-($C$27/2))</f>
        <v>21050.517522832029</v>
      </c>
      <c r="S44" s="81">
        <f>0.9*($J$15*S17+(S32+S34)*$J$14)*($C$24-($C$27/2))</f>
        <v>19566.02582725028</v>
      </c>
      <c r="T44" s="81">
        <f>0.9*($J$15*S17+(T32+T34)*$J$14)*($C$24-($C$27/2))</f>
        <v>12086.033036572264</v>
      </c>
      <c r="U44" s="82">
        <f>0.9*($J$15*S17+(U32+U34)*$J$14)*($C$24-($C$27/2))</f>
        <v>19566.02582725028</v>
      </c>
      <c r="V44" s="81">
        <f>0.9*($J$15*V17+(V32+V34)*$J$14)*($C$24-($C$27/2))</f>
        <v>8827.9441526501141</v>
      </c>
      <c r="W44" s="81">
        <f>0.9*($J$15*V17+(W32+W34)*$J$14)*($C$24-($C$27/2))</f>
        <v>17133.304801550228</v>
      </c>
      <c r="X44" s="81">
        <f>0.9*($J$15*V17+(X32+X34)*$J$14)*($C$24-($C$27/2))</f>
        <v>21050.517522832029</v>
      </c>
      <c r="Y44" s="81">
        <f>0.9*($J$15*Y17+(Y32+Y34)*$J$14)*($C$24-($C$27/2))</f>
        <v>19566.02582725028</v>
      </c>
      <c r="Z44" s="81">
        <f>0.9*($J$15*Y17+(Z32+Z34)*$J$14)*($C$24-($C$27/2))</f>
        <v>12086.033036572264</v>
      </c>
      <c r="AA44" s="81">
        <f>0.9*($J$15*Y17+(AA32+AA34)*$J$14)*($C$24-($C$27/2))</f>
        <v>19566.02582725028</v>
      </c>
      <c r="AB44" s="5" t="s">
        <v>159</v>
      </c>
      <c r="AC44" s="24">
        <f>COUNTIF(AM19:AX19, "&lt;0")</f>
        <v>0</v>
      </c>
    </row>
    <row r="45" spans="1:44" x14ac:dyDescent="0.2">
      <c r="N45" s="17" t="s">
        <v>184</v>
      </c>
      <c r="O45" t="s">
        <v>69</v>
      </c>
      <c r="P45" s="81">
        <f>(0.5*P5)*($J5*$J6-($J4^2))</f>
        <v>41658.234375</v>
      </c>
      <c r="Q45" s="81">
        <f>(0.5*P5)*($J5*$J6-($J4^2))</f>
        <v>41658.234375</v>
      </c>
      <c r="R45" s="81">
        <f>(0.5*P5)*($J5*$J6-($J4^2))</f>
        <v>41658.234375</v>
      </c>
      <c r="S45" s="81">
        <f>(0.5*S5)*($J5*$J6-($J4^2))</f>
        <v>41658.234375</v>
      </c>
      <c r="T45" s="81">
        <f>(0.5*S5)*($J5*$J6-($J4^2))</f>
        <v>41658.234375</v>
      </c>
      <c r="U45" s="82">
        <f>(0.5*S5)*($J5*$J6-($J4^2))</f>
        <v>41658.234375</v>
      </c>
      <c r="V45" s="81">
        <f>(0.5*V5)*($J5*$J6-($J4^2))</f>
        <v>41658.234375</v>
      </c>
      <c r="W45" s="81">
        <f>(0.5*V5)*($J5*$J6-($J4^2))</f>
        <v>41658.234375</v>
      </c>
      <c r="X45" s="81">
        <f>(0.5*V5)*($J5*$J6-($J4^2))</f>
        <v>41658.234375</v>
      </c>
      <c r="Y45" s="81">
        <f>(0.5*Y5)*($J5*$J6-($J4^2))</f>
        <v>41658.234375</v>
      </c>
      <c r="Z45" s="81">
        <f>(0.5*Y5)*($J5*$J6-($J4^2))</f>
        <v>41658.234375</v>
      </c>
      <c r="AA45" s="81">
        <f>(0.5*Y5)*($J5*$J6-($J4^2))</f>
        <v>41658.234375</v>
      </c>
      <c r="AB45" s="46">
        <f>0.75*4*SQRT(J9)*C25*C24*144</f>
        <v>47745.641489564252</v>
      </c>
      <c r="AC45" t="b">
        <f>IF(AB45&gt;MAX(P45:AA45),TRUE,FALSE)</f>
        <v>1</v>
      </c>
      <c r="AD45" t="s">
        <v>213</v>
      </c>
    </row>
    <row r="46" spans="1:44" x14ac:dyDescent="0.2">
      <c r="N46" s="17"/>
      <c r="P46" s="81"/>
      <c r="Q46" s="81"/>
      <c r="R46" s="81"/>
      <c r="S46" s="81"/>
      <c r="T46" s="81"/>
      <c r="U46" s="82"/>
      <c r="V46" s="81"/>
      <c r="W46" s="81"/>
      <c r="X46" s="81"/>
      <c r="Y46" s="81"/>
      <c r="Z46" s="81"/>
      <c r="AA46" s="81"/>
    </row>
    <row r="47" spans="1:44" ht="17" thickBot="1" x14ac:dyDescent="0.25">
      <c r="P47" s="7"/>
      <c r="Q47" s="7"/>
      <c r="R47" s="7"/>
      <c r="S47" s="7"/>
      <c r="T47" s="7"/>
      <c r="U47" s="12"/>
      <c r="V47" s="7"/>
      <c r="W47" s="7"/>
      <c r="X47" s="7"/>
      <c r="Y47" s="7"/>
      <c r="Z47" s="7"/>
      <c r="AA47" s="7"/>
    </row>
    <row r="48" spans="1:44" x14ac:dyDescent="0.2">
      <c r="N48" s="53" t="s">
        <v>187</v>
      </c>
      <c r="O48" s="54" t="s">
        <v>4</v>
      </c>
      <c r="P48" s="65"/>
      <c r="Q48" s="65"/>
      <c r="R48" s="65"/>
      <c r="S48" s="65"/>
      <c r="T48" s="65"/>
      <c r="U48" s="66"/>
      <c r="V48" s="65"/>
      <c r="W48" s="65"/>
      <c r="X48" s="65"/>
      <c r="Y48" s="65"/>
      <c r="Z48" s="65"/>
      <c r="AA48" s="62"/>
    </row>
    <row r="49" spans="14:27" x14ac:dyDescent="0.2">
      <c r="N49" s="67" t="s">
        <v>190</v>
      </c>
      <c r="O49" s="8" t="s">
        <v>80</v>
      </c>
      <c r="P49" s="95">
        <f>$C$34*C19/$C$36</f>
        <v>5.9888888888888889</v>
      </c>
      <c r="Q49" s="95"/>
      <c r="R49" s="95"/>
      <c r="S49" s="95">
        <f>$C$34*C19/$C$36</f>
        <v>5.9888888888888889</v>
      </c>
      <c r="T49" s="95"/>
      <c r="U49" s="93"/>
      <c r="V49" s="95">
        <f>$C$35*C20/$C$36</f>
        <v>5.9888888888888889</v>
      </c>
      <c r="W49" s="95"/>
      <c r="X49" s="95"/>
      <c r="Y49" s="95">
        <f>$C$35*C20/$C$36</f>
        <v>5.9888888888888889</v>
      </c>
      <c r="Z49" s="95"/>
      <c r="AA49" s="100"/>
    </row>
    <row r="50" spans="14:27" x14ac:dyDescent="0.2">
      <c r="N50" s="67" t="s">
        <v>237</v>
      </c>
      <c r="O50" s="8" t="s">
        <v>146</v>
      </c>
      <c r="P50" s="13">
        <f>IF(P32&gt;0.01,P32*$C$19,0)</f>
        <v>6.7172799038461557</v>
      </c>
      <c r="Q50" s="13">
        <f>IF(Q32&gt;0.01,Q32*$C$19,0)</f>
        <v>9.643322807692309</v>
      </c>
      <c r="R50" s="98">
        <f>IF(MAX(R32:S32)&gt;0.01,MAX(R32:S32*C19),0)</f>
        <v>15.484364302884615</v>
      </c>
      <c r="S50" s="98"/>
      <c r="T50" s="13">
        <f>IF(T32&gt;0.01,T32*$C$19,0)</f>
        <v>6.3436291826923075</v>
      </c>
      <c r="U50" s="12">
        <f>IF(U32&gt;0.01,U32*$C$19,0)</f>
        <v>14.271241646634614</v>
      </c>
      <c r="V50" s="13">
        <f>IF(V32&gt;0.01,V32*$C$20,0)</f>
        <v>6.7172799038461557</v>
      </c>
      <c r="W50" s="13">
        <f>IF(W32&gt;0.01,W32*$C$20,0)</f>
        <v>9.643322807692309</v>
      </c>
      <c r="X50" s="98">
        <f>IF(MAX(X32:Y32)&gt;0.01,MAX(X32:Y32*C$20),0)</f>
        <v>15.484364302884615</v>
      </c>
      <c r="Y50" s="98"/>
      <c r="Z50" s="13">
        <f>IF(Z32&gt;0.01,Z32*$C$20,0)</f>
        <v>6.3436291826923075</v>
      </c>
      <c r="AA50" s="63">
        <f>IF(AA32&gt;0.01,AA32*$C$20,0)</f>
        <v>14.271241646634614</v>
      </c>
    </row>
    <row r="51" spans="14:27" x14ac:dyDescent="0.2">
      <c r="N51" s="67" t="s">
        <v>238</v>
      </c>
      <c r="O51" s="8" t="s">
        <v>146</v>
      </c>
      <c r="P51" s="13">
        <f>IF(P34&gt;0.01,P34*$C$19,0)</f>
        <v>0</v>
      </c>
      <c r="Q51" s="13">
        <f>IF(Q34&gt;0.01,Q34*$C$19,0)</f>
        <v>6.12344853846154</v>
      </c>
      <c r="R51" s="98">
        <f>IF(MAX(R34:S34)&gt;0.01,MAX(R34:S34*C19),0)</f>
        <v>4.5505881009615381</v>
      </c>
      <c r="S51" s="98"/>
      <c r="T51" s="13">
        <f>IF(T34&gt;0.01,T34*$C$19,0)</f>
        <v>3.923652788461538</v>
      </c>
      <c r="U51" s="12">
        <f>IF(U34&gt;0.01,U34*$C$19,0)</f>
        <v>4.1462138822115389</v>
      </c>
      <c r="V51" s="13">
        <f>IF(V34&gt;0.01,V34*$C$20,0)</f>
        <v>0</v>
      </c>
      <c r="W51" s="13">
        <f>IF(W34&gt;0.01,W34*$C$20,0)</f>
        <v>6.12344853846154</v>
      </c>
      <c r="X51" s="98">
        <f>IF(MAX(X34:Y34)&gt;0.01,MAX(X34:Y34*C$20),0)</f>
        <v>4.5505881009615381</v>
      </c>
      <c r="Y51" s="98"/>
      <c r="Z51" s="13">
        <f>IF(Z34&gt;0.01,Z34*$C$20,0)</f>
        <v>3.923652788461538</v>
      </c>
      <c r="AA51" s="63">
        <f>IF(AA34&gt;0.01,AA34*$C$20,0)</f>
        <v>4.1462138822115389</v>
      </c>
    </row>
    <row r="52" spans="14:27" ht="17" thickBot="1" x14ac:dyDescent="0.25">
      <c r="N52" s="68" t="s">
        <v>239</v>
      </c>
      <c r="O52" s="59" t="s">
        <v>140</v>
      </c>
      <c r="P52" s="69">
        <f>0.3*12*P4</f>
        <v>45.9</v>
      </c>
      <c r="Q52" s="69" t="s">
        <v>240</v>
      </c>
      <c r="R52" s="99">
        <f>0.3*12*MAX(P4,S4)</f>
        <v>45.9</v>
      </c>
      <c r="S52" s="99"/>
      <c r="T52" s="69" t="s">
        <v>240</v>
      </c>
      <c r="U52" s="70">
        <f>0.3*12*S4</f>
        <v>45.9</v>
      </c>
      <c r="V52" s="69">
        <f>0.3*12*V4</f>
        <v>45.9</v>
      </c>
      <c r="W52" s="69" t="s">
        <v>240</v>
      </c>
      <c r="X52" s="99">
        <f>0.3*12*MAX(V4,Y4)</f>
        <v>45.9</v>
      </c>
      <c r="Y52" s="99"/>
      <c r="Z52" s="69" t="s">
        <v>240</v>
      </c>
      <c r="AA52" s="64">
        <f>0.3*12*Y4</f>
        <v>45.9</v>
      </c>
    </row>
    <row r="53" spans="14:27" ht="17" thickBot="1" x14ac:dyDescent="0.25">
      <c r="P53" s="7"/>
      <c r="Q53" s="7"/>
      <c r="R53" s="7"/>
      <c r="S53" s="7"/>
      <c r="T53" s="7"/>
      <c r="U53" s="12"/>
      <c r="V53" s="7"/>
      <c r="W53" s="7"/>
      <c r="X53" s="7"/>
      <c r="Y53" s="7"/>
      <c r="Z53" s="7"/>
      <c r="AA53" s="7"/>
    </row>
    <row r="54" spans="14:27" x14ac:dyDescent="0.2">
      <c r="N54" s="61" t="s">
        <v>204</v>
      </c>
      <c r="O54" s="54" t="s">
        <v>69</v>
      </c>
      <c r="P54" s="62">
        <f>C6*J5*J6</f>
        <v>36015</v>
      </c>
      <c r="Q54" s="7"/>
      <c r="R54" s="7"/>
      <c r="S54" s="7"/>
      <c r="T54" s="7"/>
      <c r="U54" s="12"/>
      <c r="V54" s="7"/>
      <c r="W54" s="7"/>
      <c r="X54" s="7"/>
      <c r="Y54" s="7"/>
      <c r="Z54" s="7"/>
      <c r="AA54" s="7"/>
    </row>
    <row r="55" spans="14:27" x14ac:dyDescent="0.2">
      <c r="N55" s="56" t="s">
        <v>205</v>
      </c>
      <c r="O55" s="8" t="s">
        <v>69</v>
      </c>
      <c r="P55" s="63">
        <f>C7*J5*J6</f>
        <v>25480</v>
      </c>
      <c r="Q55" s="7"/>
      <c r="R55" s="7"/>
      <c r="S55" s="7"/>
      <c r="T55" s="7"/>
      <c r="U55" s="12"/>
      <c r="V55" s="7"/>
      <c r="W55" s="7"/>
      <c r="X55" s="7"/>
      <c r="Y55" s="7"/>
      <c r="Z55" s="7"/>
      <c r="AA55" s="7"/>
    </row>
    <row r="56" spans="14:27" x14ac:dyDescent="0.2">
      <c r="N56" s="56" t="s">
        <v>288</v>
      </c>
      <c r="O56" s="8" t="s">
        <v>80</v>
      </c>
      <c r="P56" s="63">
        <f>(C2-6)/C19+1</f>
        <v>4</v>
      </c>
      <c r="Q56" s="7"/>
      <c r="R56" s="7" t="s">
        <v>345</v>
      </c>
      <c r="S56" s="7"/>
      <c r="T56" s="7"/>
      <c r="U56" s="12"/>
      <c r="V56" s="7"/>
      <c r="W56" s="7"/>
      <c r="X56" s="7"/>
      <c r="Y56" s="7"/>
      <c r="Z56" s="7"/>
      <c r="AA56" s="7"/>
    </row>
    <row r="57" spans="14:27" x14ac:dyDescent="0.2">
      <c r="N57" s="56" t="s">
        <v>289</v>
      </c>
      <c r="O57" s="8" t="s">
        <v>80</v>
      </c>
      <c r="P57" s="63">
        <f>(C3-6)/C20+1</f>
        <v>5</v>
      </c>
      <c r="R57" t="s">
        <v>346</v>
      </c>
    </row>
    <row r="58" spans="14:27" ht="17" thickBot="1" x14ac:dyDescent="0.25">
      <c r="N58" s="58" t="s">
        <v>327</v>
      </c>
      <c r="O58" s="59" t="s">
        <v>72</v>
      </c>
      <c r="P58" s="64">
        <f>(P49*(P56-1)*C3)+(V49*(P57-1)*C2)</f>
        <v>2263.8000000000002</v>
      </c>
    </row>
  </sheetData>
  <mergeCells count="74">
    <mergeCell ref="A42:B42"/>
    <mergeCell ref="A43:B43"/>
    <mergeCell ref="P21:R21"/>
    <mergeCell ref="S21:U21"/>
    <mergeCell ref="V21:X21"/>
    <mergeCell ref="A40:B40"/>
    <mergeCell ref="Y13:AA13"/>
    <mergeCell ref="N24:AA24"/>
    <mergeCell ref="Y17:AA17"/>
    <mergeCell ref="Y16:AA16"/>
    <mergeCell ref="A41:B41"/>
    <mergeCell ref="Y21:AA21"/>
    <mergeCell ref="A39:B39"/>
    <mergeCell ref="A26:B26"/>
    <mergeCell ref="V16:X16"/>
    <mergeCell ref="V17:X17"/>
    <mergeCell ref="A22:B22"/>
    <mergeCell ref="A23:B23"/>
    <mergeCell ref="A36:B36"/>
    <mergeCell ref="A31:B31"/>
    <mergeCell ref="A37:B37"/>
    <mergeCell ref="A38:B38"/>
    <mergeCell ref="AI41:AL42"/>
    <mergeCell ref="R51:S51"/>
    <mergeCell ref="X51:Y51"/>
    <mergeCell ref="R52:S52"/>
    <mergeCell ref="X52:Y52"/>
    <mergeCell ref="R50:S50"/>
    <mergeCell ref="X50:Y50"/>
    <mergeCell ref="P49:R49"/>
    <mergeCell ref="S49:U49"/>
    <mergeCell ref="V49:X49"/>
    <mergeCell ref="Y49:AA49"/>
    <mergeCell ref="P17:R17"/>
    <mergeCell ref="P16:R16"/>
    <mergeCell ref="S16:U16"/>
    <mergeCell ref="S17:U17"/>
    <mergeCell ref="A35:B35"/>
    <mergeCell ref="A21:B21"/>
    <mergeCell ref="A27:B27"/>
    <mergeCell ref="Y4:AA4"/>
    <mergeCell ref="Y5:AA5"/>
    <mergeCell ref="P5:R5"/>
    <mergeCell ref="S5:U5"/>
    <mergeCell ref="P6:R6"/>
    <mergeCell ref="S6:U6"/>
    <mergeCell ref="V6:X6"/>
    <mergeCell ref="Y6:AA6"/>
    <mergeCell ref="V5:X5"/>
    <mergeCell ref="P13:R13"/>
    <mergeCell ref="S13:U13"/>
    <mergeCell ref="V13:X13"/>
    <mergeCell ref="P3:R3"/>
    <mergeCell ref="S3:U3"/>
    <mergeCell ref="P4:R4"/>
    <mergeCell ref="S4:U4"/>
    <mergeCell ref="V3:X3"/>
    <mergeCell ref="V4:X4"/>
    <mergeCell ref="Y3:AA3"/>
    <mergeCell ref="V8:X8"/>
    <mergeCell ref="Y8:AA8"/>
    <mergeCell ref="A33:B33"/>
    <mergeCell ref="A34:B34"/>
    <mergeCell ref="P8:R8"/>
    <mergeCell ref="S8:U8"/>
    <mergeCell ref="A24:B24"/>
    <mergeCell ref="A25:B25"/>
    <mergeCell ref="A28:B28"/>
    <mergeCell ref="A29:B29"/>
    <mergeCell ref="A30:B30"/>
    <mergeCell ref="A32:B32"/>
    <mergeCell ref="A18:B18"/>
    <mergeCell ref="A19:B19"/>
    <mergeCell ref="A20:B20"/>
  </mergeCells>
  <conditionalFormatting sqref="AC38:AC45">
    <cfRule type="containsText" dxfId="11" priority="7" operator="containsText" text="TRUE">
      <formula>NOT(ISERROR(SEARCH("TRUE",AC38)))</formula>
    </cfRule>
    <cfRule type="containsText" dxfId="10" priority="8" operator="containsText" text="FALSE">
      <formula>NOT(ISERROR(SEARCH("FALSE",AC38)))</formula>
    </cfRule>
  </conditionalFormatting>
  <conditionalFormatting sqref="AC44">
    <cfRule type="cellIs" dxfId="9" priority="5" operator="greaterThan">
      <formula>0</formula>
    </cfRule>
    <cfRule type="cellIs" dxfId="8" priority="6" operator="equal">
      <formula>0</formula>
    </cfRule>
  </conditionalFormatting>
  <conditionalFormatting sqref="AC37">
    <cfRule type="containsText" dxfId="7" priority="3" operator="containsText" text="TRUE">
      <formula>NOT(ISERROR(SEARCH("TRUE",AC37)))</formula>
    </cfRule>
    <cfRule type="containsText" dxfId="6" priority="4" operator="containsText" text="FALSE">
      <formula>NOT(ISERROR(SEARCH("FALSE",AC37)))</formula>
    </cfRule>
  </conditionalFormatting>
  <conditionalFormatting sqref="AC41">
    <cfRule type="cellIs" dxfId="5" priority="1" operator="greaterThan">
      <formula>0</formula>
    </cfRule>
    <cfRule type="cellIs" dxfId="4" priority="2" operator="equal">
      <formula>0</formula>
    </cfRule>
  </conditionalFormatting>
  <hyperlinks>
    <hyperlink ref="AD38" r:id="rId1" display="ADEPT PPT" xr:uid="{42E85E08-7B91-DD4A-9179-EEF616934F85}"/>
    <hyperlink ref="AD42" r:id="rId2" display="ADEPT PPT - Total deflections" xr:uid="{EA1AEF64-8407-584A-8A87-CF01348B1009}"/>
    <hyperlink ref="AD42" r:id="rId3" display="ADEPT PPT" xr:uid="{6F2A22F4-F91B-6E47-9DD3-69B1D4D056C8}"/>
    <hyperlink ref="AD39" r:id="rId4" display="ADEPT PPT" xr:uid="{79770EDB-8B1E-234F-B76E-DDBFB13D3F5C}"/>
  </hyperlinks>
  <pageMargins left="0.7" right="0.7" top="0.75" bottom="0.75" header="0.3" footer="0.3"/>
  <pageSetup orientation="portrait" horizontalDpi="0" verticalDpi="0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59507-37FD-D14C-B90C-A7E928852511}">
  <dimension ref="A1:X45"/>
  <sheetViews>
    <sheetView tabSelected="1" view="pageLayout" zoomScale="85" zoomScaleNormal="100" zoomScalePageLayoutView="85" workbookViewId="0">
      <selection activeCell="D39" sqref="D39"/>
    </sheetView>
  </sheetViews>
  <sheetFormatPr baseColWidth="10" defaultRowHeight="16" x14ac:dyDescent="0.2"/>
  <cols>
    <col min="1" max="1" width="24.83203125" customWidth="1"/>
    <col min="2" max="2" width="11.1640625" bestFit="1" customWidth="1"/>
    <col min="4" max="4" width="14.6640625" customWidth="1"/>
    <col min="9" max="9" width="11.6640625" customWidth="1"/>
    <col min="10" max="10" width="9" customWidth="1"/>
    <col min="11" max="11" width="12.83203125" customWidth="1"/>
    <col min="12" max="12" width="11.83203125" customWidth="1"/>
    <col min="13" max="13" width="13.83203125" customWidth="1"/>
    <col min="14" max="14" width="3.33203125" customWidth="1"/>
    <col min="17" max="17" width="6.83203125" customWidth="1"/>
    <col min="18" max="18" width="12.5" customWidth="1"/>
    <col min="19" max="19" width="16" customWidth="1"/>
    <col min="20" max="20" width="12" customWidth="1"/>
    <col min="21" max="21" width="14.5" customWidth="1"/>
    <col min="22" max="22" width="15.33203125" customWidth="1"/>
    <col min="23" max="24" width="11.5" bestFit="1" customWidth="1"/>
  </cols>
  <sheetData>
    <row r="1" spans="1:24" x14ac:dyDescent="0.2">
      <c r="A1" t="s">
        <v>2</v>
      </c>
      <c r="B1" t="s">
        <v>3</v>
      </c>
      <c r="C1" t="s">
        <v>268</v>
      </c>
      <c r="D1" t="s">
        <v>5</v>
      </c>
      <c r="E1" t="s">
        <v>27</v>
      </c>
      <c r="G1" s="3" t="s">
        <v>11</v>
      </c>
      <c r="H1" s="3"/>
      <c r="I1" s="3" t="s">
        <v>12</v>
      </c>
      <c r="J1" s="3"/>
      <c r="K1" s="3" t="s">
        <v>13</v>
      </c>
      <c r="L1" s="3"/>
      <c r="M1" s="3" t="s">
        <v>23</v>
      </c>
      <c r="N1" s="3"/>
      <c r="O1" t="s">
        <v>366</v>
      </c>
    </row>
    <row r="2" spans="1:24" x14ac:dyDescent="0.2">
      <c r="G2" t="s">
        <v>15</v>
      </c>
      <c r="I2" t="s">
        <v>16</v>
      </c>
      <c r="K2" t="s">
        <v>14</v>
      </c>
      <c r="M2" t="s">
        <v>24</v>
      </c>
      <c r="O2" t="s">
        <v>367</v>
      </c>
    </row>
    <row r="3" spans="1:24" x14ac:dyDescent="0.2">
      <c r="A3" s="1" t="s">
        <v>0</v>
      </c>
      <c r="B3" s="1"/>
      <c r="C3" s="1"/>
      <c r="D3" s="1"/>
      <c r="G3" t="s">
        <v>17</v>
      </c>
      <c r="I3" t="s">
        <v>18</v>
      </c>
      <c r="K3" t="s">
        <v>19</v>
      </c>
      <c r="O3" t="s">
        <v>368</v>
      </c>
    </row>
    <row r="4" spans="1:24" x14ac:dyDescent="0.2">
      <c r="A4" s="4" t="s">
        <v>7</v>
      </c>
      <c r="B4">
        <v>90</v>
      </c>
      <c r="C4" t="s">
        <v>264</v>
      </c>
      <c r="D4" s="46">
        <f>ROUNDUP(M17/27,0)</f>
        <v>84</v>
      </c>
      <c r="I4" t="s">
        <v>20</v>
      </c>
      <c r="K4" t="s">
        <v>21</v>
      </c>
      <c r="O4" s="35" t="s">
        <v>263</v>
      </c>
      <c r="P4" s="35"/>
      <c r="Q4" s="35"/>
      <c r="R4" s="35"/>
      <c r="S4" s="35"/>
      <c r="T4" s="35"/>
      <c r="U4" s="35" t="s">
        <v>269</v>
      </c>
    </row>
    <row r="5" spans="1:24" x14ac:dyDescent="0.2">
      <c r="A5" s="43" t="s">
        <v>279</v>
      </c>
      <c r="B5">
        <v>1.25</v>
      </c>
      <c r="C5" t="s">
        <v>281</v>
      </c>
      <c r="D5">
        <f>'Slab Design'!C2*'Slab Design'!C3</f>
        <v>2976</v>
      </c>
      <c r="I5" t="s">
        <v>22</v>
      </c>
      <c r="K5" t="s">
        <v>25</v>
      </c>
      <c r="O5" s="90"/>
      <c r="P5" s="90"/>
      <c r="Q5" s="90"/>
      <c r="W5" t="s">
        <v>361</v>
      </c>
      <c r="X5" t="s">
        <v>360</v>
      </c>
    </row>
    <row r="6" spans="1:24" x14ac:dyDescent="0.2">
      <c r="A6" s="52" t="s">
        <v>274</v>
      </c>
      <c r="B6">
        <v>1.65</v>
      </c>
      <c r="C6" t="s">
        <v>69</v>
      </c>
      <c r="D6">
        <f>0.52*'Slab Design'!P58</f>
        <v>1177.1760000000002</v>
      </c>
      <c r="K6" s="4" t="s">
        <v>277</v>
      </c>
      <c r="O6" s="90" t="str">
        <f t="shared" ref="O6:O8" si="0">IF(ISBLANK(A4),"",TEXT(A4,"0"))</f>
        <v>Concrete</v>
      </c>
      <c r="P6" s="90"/>
      <c r="Q6" s="90"/>
      <c r="R6" s="90" t="str">
        <f>CONCATENATE(D4," ",C4," @ $",B4," per ",C4)</f>
        <v>84  CY @ $90 per  CY</v>
      </c>
      <c r="S6" s="90"/>
      <c r="T6" s="90"/>
      <c r="U6" s="39">
        <f>D4*B4</f>
        <v>7560</v>
      </c>
      <c r="V6" t="s">
        <v>7</v>
      </c>
      <c r="W6" s="47">
        <f>U6</f>
        <v>7560</v>
      </c>
      <c r="X6" s="47">
        <f>U37</f>
        <v>6614.1</v>
      </c>
    </row>
    <row r="7" spans="1:24" x14ac:dyDescent="0.2">
      <c r="A7" s="4" t="s">
        <v>308</v>
      </c>
      <c r="B7">
        <v>700</v>
      </c>
      <c r="C7" t="s">
        <v>265</v>
      </c>
      <c r="D7">
        <f>ROUNDUP(M35/2000,2)</f>
        <v>15.59</v>
      </c>
      <c r="K7" t="s">
        <v>278</v>
      </c>
      <c r="O7" s="90" t="str">
        <f>IF(ISBLANK(A5),"",TEXT(A5,"0"))</f>
        <v>Site Preparation</v>
      </c>
      <c r="P7" s="90"/>
      <c r="Q7" s="90"/>
      <c r="R7" s="49" t="str">
        <f>CONCATENATE(D5," ",C5," @ $",B5," per ",C5)</f>
        <v>2976 square foot @ $1.25 per square foot</v>
      </c>
      <c r="S7" s="49"/>
      <c r="U7" s="39">
        <f>D5*B5</f>
        <v>3720</v>
      </c>
      <c r="V7" t="s">
        <v>356</v>
      </c>
      <c r="W7" s="47">
        <f>U7</f>
        <v>3720</v>
      </c>
      <c r="X7" s="47">
        <f>U36</f>
        <v>10185.202499999999</v>
      </c>
    </row>
    <row r="8" spans="1:24" x14ac:dyDescent="0.2">
      <c r="A8" t="s">
        <v>280</v>
      </c>
      <c r="B8">
        <v>700</v>
      </c>
      <c r="C8" t="s">
        <v>265</v>
      </c>
      <c r="D8">
        <f>ROUNDUP(M45/2000,4)</f>
        <v>3.2040000000000002</v>
      </c>
      <c r="O8" s="90" t="str">
        <f t="shared" si="0"/>
        <v>0.5" PT Cables</v>
      </c>
      <c r="P8" s="90"/>
      <c r="Q8" s="90"/>
      <c r="R8" s="90" t="str">
        <f t="shared" ref="R8" si="1">CONCATENATE(D6," ",C6," @ $",B6," per ",C6)</f>
        <v>1177.176 lb @ $1.65 per lb</v>
      </c>
      <c r="S8" s="90"/>
      <c r="T8" s="90"/>
      <c r="U8" s="39">
        <f t="shared" ref="U8" si="2">D6*B6</f>
        <v>1942.3404</v>
      </c>
      <c r="V8" t="s">
        <v>357</v>
      </c>
      <c r="W8" s="47">
        <f>U8+U9+U10</f>
        <v>15098.1404</v>
      </c>
      <c r="X8" s="47">
        <f>U38</f>
        <v>10913</v>
      </c>
    </row>
    <row r="9" spans="1:24" x14ac:dyDescent="0.2">
      <c r="A9" t="s">
        <v>58</v>
      </c>
      <c r="B9" s="5">
        <v>175</v>
      </c>
      <c r="C9" t="s">
        <v>267</v>
      </c>
      <c r="D9">
        <f>(ROUNDUP('Slab Design'!P56,0)*ROUNDUP('Slab Design'!P57,0))</f>
        <v>20</v>
      </c>
      <c r="O9" s="90" t="str">
        <f>IF(ISBLANK(A7),"",TEXT(A7,"0"))</f>
        <v>Slab Rebar</v>
      </c>
      <c r="P9" s="90"/>
      <c r="Q9" s="90"/>
      <c r="R9" s="90" t="str">
        <f>CONCATENATE(D7," ",C7," @ $",B7," per ",C7)</f>
        <v>15.59 ton @ $700 per ton</v>
      </c>
      <c r="S9" s="90"/>
      <c r="T9" s="90"/>
      <c r="U9" s="39">
        <f>D7*B7</f>
        <v>10913</v>
      </c>
      <c r="V9" t="s">
        <v>358</v>
      </c>
      <c r="W9" s="47">
        <f>U11</f>
        <v>3500</v>
      </c>
      <c r="X9">
        <v>0</v>
      </c>
    </row>
    <row r="10" spans="1:24" x14ac:dyDescent="0.2">
      <c r="O10" s="90" t="str">
        <f>IF(ISBLANK(A8),"",TEXT(A8,"0"))</f>
        <v>Pier Rebar</v>
      </c>
      <c r="P10" s="90"/>
      <c r="Q10" s="90"/>
      <c r="R10" s="90" t="str">
        <f>CONCATENATE(D8," ",C8," @ $",B8," per ",C8)</f>
        <v>3.204 ton @ $700 per ton</v>
      </c>
      <c r="S10" s="90"/>
      <c r="T10" s="90"/>
      <c r="U10" s="39">
        <f>D8*B8</f>
        <v>2242.8000000000002</v>
      </c>
      <c r="V10" t="s">
        <v>359</v>
      </c>
      <c r="W10" s="47">
        <f>U19</f>
        <v>2542</v>
      </c>
      <c r="X10">
        <v>0</v>
      </c>
    </row>
    <row r="11" spans="1:24" x14ac:dyDescent="0.2">
      <c r="O11" s="90" t="str">
        <f>IF(ISBLANK(A9),"",TEXT(A9,"0"))</f>
        <v>Tella Firma Device</v>
      </c>
      <c r="P11" s="90"/>
      <c r="Q11" s="90"/>
      <c r="R11" s="90" t="str">
        <f>CONCATENATE(D9," ",C9," @ $",B9," per ",C9)</f>
        <v>20 device @ $175 per device</v>
      </c>
      <c r="S11" s="90"/>
      <c r="T11" s="90"/>
      <c r="U11" s="39">
        <f>D9*B9</f>
        <v>3500</v>
      </c>
      <c r="V11" t="s">
        <v>8</v>
      </c>
      <c r="W11" s="47">
        <f>U20</f>
        <v>1200</v>
      </c>
      <c r="X11">
        <v>0</v>
      </c>
    </row>
    <row r="12" spans="1:24" x14ac:dyDescent="0.2">
      <c r="O12" s="90" t="str">
        <f>IF(ISBLANK(A10),"",TEXT(A10,"0"))</f>
        <v/>
      </c>
      <c r="P12" s="90"/>
      <c r="Q12" s="90"/>
      <c r="R12" s="90"/>
      <c r="S12" s="90"/>
      <c r="T12" s="90"/>
      <c r="U12" s="39"/>
      <c r="V12" t="s">
        <v>1</v>
      </c>
      <c r="W12" s="47">
        <f>U21</f>
        <v>8320</v>
      </c>
      <c r="X12" s="47">
        <f>U39</f>
        <v>17920</v>
      </c>
    </row>
    <row r="13" spans="1:24" x14ac:dyDescent="0.2">
      <c r="O13" s="90" t="str">
        <f>IF(ISBLANK(A11),"",TEXT(A11,"0"))</f>
        <v/>
      </c>
      <c r="P13" s="90"/>
      <c r="Q13" s="90"/>
      <c r="R13" s="90"/>
      <c r="S13" s="90"/>
      <c r="V13" t="s">
        <v>351</v>
      </c>
      <c r="W13" s="47">
        <f>U29</f>
        <v>52.281544882191788</v>
      </c>
      <c r="X13" s="47">
        <f>U40</f>
        <v>918.89705034246583</v>
      </c>
    </row>
    <row r="14" spans="1:24" x14ac:dyDescent="0.2">
      <c r="O14" s="90" t="str">
        <f>IF(ISBLANK(A14),"",TEXT(A14,"0"))</f>
        <v/>
      </c>
      <c r="P14" s="90"/>
      <c r="Q14" s="90"/>
      <c r="R14" s="90"/>
      <c r="S14" s="90"/>
      <c r="V14" t="s">
        <v>6</v>
      </c>
      <c r="W14" s="47">
        <f>U31*0.08</f>
        <v>3359.3937555905759</v>
      </c>
      <c r="X14">
        <v>0</v>
      </c>
    </row>
    <row r="15" spans="1:24" x14ac:dyDescent="0.2">
      <c r="O15" s="90"/>
      <c r="P15" s="90"/>
      <c r="Q15" s="90"/>
      <c r="R15" s="90"/>
      <c r="S15" s="90"/>
      <c r="U15" s="3"/>
      <c r="V15" t="s">
        <v>362</v>
      </c>
      <c r="W15" s="47">
        <f>SUM(W6:W14)</f>
        <v>45351.815700472769</v>
      </c>
      <c r="X15" s="47">
        <f>SUM(X6:X14)</f>
        <v>46551.199550342462</v>
      </c>
    </row>
    <row r="16" spans="1:24" x14ac:dyDescent="0.2">
      <c r="G16" t="s">
        <v>291</v>
      </c>
      <c r="H16" t="s">
        <v>292</v>
      </c>
      <c r="I16" t="s">
        <v>294</v>
      </c>
      <c r="J16" t="s">
        <v>305</v>
      </c>
      <c r="L16" t="s">
        <v>306</v>
      </c>
      <c r="O16" s="90" t="s">
        <v>271</v>
      </c>
      <c r="P16" s="90"/>
      <c r="Q16" s="90"/>
      <c r="R16" s="90"/>
      <c r="S16" s="90"/>
      <c r="U16" s="40">
        <f>SUM(U6:U15)</f>
        <v>29878.1404</v>
      </c>
    </row>
    <row r="17" spans="1:21" x14ac:dyDescent="0.2">
      <c r="A17" s="1" t="s">
        <v>1</v>
      </c>
      <c r="B17" s="1"/>
      <c r="C17" s="1"/>
      <c r="D17" s="1"/>
      <c r="G17" t="s">
        <v>293</v>
      </c>
      <c r="H17">
        <f>('Slab Design'!C2*'Slab Design'!C3*'Slab Design'!J2)</f>
        <v>1364</v>
      </c>
      <c r="I17">
        <f>SUM(I18:I19)</f>
        <v>66.122509722222219</v>
      </c>
      <c r="J17">
        <f>(ROUNDUP('Slab Design'!P56,0)*ROUNDUP('Slab Design'!P57,0))</f>
        <v>20</v>
      </c>
      <c r="K17">
        <f>(3.141592*('Pier Design'!B43/2)^2)*'Pier Design'!B42</f>
        <v>48.105627499999997</v>
      </c>
      <c r="L17">
        <f>'Pier Design'!B44*'Pier Design'!B42/144</f>
        <v>0.636317824074074</v>
      </c>
      <c r="M17" s="45">
        <f>H17-I17+(J17*(K17-L17))</f>
        <v>2247.2636837962964</v>
      </c>
      <c r="N17" t="s">
        <v>307</v>
      </c>
      <c r="O17" s="36" t="s">
        <v>270</v>
      </c>
      <c r="P17" s="36"/>
      <c r="Q17" s="36"/>
      <c r="R17" s="104"/>
      <c r="S17" s="104"/>
      <c r="T17" s="36"/>
      <c r="U17" s="36"/>
    </row>
    <row r="18" spans="1:21" x14ac:dyDescent="0.2">
      <c r="A18" s="4" t="s">
        <v>326</v>
      </c>
      <c r="B18">
        <v>2542</v>
      </c>
      <c r="C18" t="s">
        <v>273</v>
      </c>
      <c r="D18">
        <v>1</v>
      </c>
      <c r="H18" t="s">
        <v>295</v>
      </c>
      <c r="I18">
        <f>('Slab Design'!J13*('Slab Design'!P49*('Slab Design'!P56-1)*'Slab Design'!C3+'Slab Design'!V49*('Slab Design'!P57-1)*'Slab Design'!C2))/144</f>
        <v>2.4052875</v>
      </c>
      <c r="O18" s="90"/>
      <c r="P18" s="90"/>
      <c r="Q18" s="90"/>
      <c r="R18" s="90"/>
      <c r="S18" s="90"/>
    </row>
    <row r="19" spans="1:21" x14ac:dyDescent="0.2">
      <c r="A19" s="4" t="s">
        <v>8</v>
      </c>
      <c r="B19">
        <v>150</v>
      </c>
      <c r="C19" t="s">
        <v>272</v>
      </c>
      <c r="D19">
        <v>8</v>
      </c>
      <c r="H19" t="s">
        <v>304</v>
      </c>
      <c r="I19">
        <f>L35</f>
        <v>63.717222222222219</v>
      </c>
      <c r="O19" s="90" t="str">
        <f>IF(ISBLANK(A18),"",TEXT(A18,"0"))</f>
        <v>Truck-Mounted Auger</v>
      </c>
      <c r="P19" s="90"/>
      <c r="Q19" s="90"/>
      <c r="R19" s="90" t="str">
        <f>CONCATENATE(D18," ",C18," @ $",B18," per ",C18)</f>
        <v>1 day @ $2542 per day</v>
      </c>
      <c r="S19" s="90"/>
      <c r="T19" s="90"/>
      <c r="U19" s="39">
        <f>D18*B18</f>
        <v>2542</v>
      </c>
    </row>
    <row r="20" spans="1:21" x14ac:dyDescent="0.2">
      <c r="A20" s="4" t="s">
        <v>328</v>
      </c>
      <c r="B20" s="4">
        <f>5*8*16</f>
        <v>640</v>
      </c>
      <c r="C20" t="s">
        <v>273</v>
      </c>
      <c r="D20">
        <f>D32</f>
        <v>13</v>
      </c>
      <c r="K20" t="s">
        <v>354</v>
      </c>
      <c r="L20">
        <f>1/27*(H17-I17)</f>
        <v>48.069536676954726</v>
      </c>
      <c r="M20">
        <f>L20/(L20+L21)</f>
        <v>0.57753680604372915</v>
      </c>
      <c r="O20" s="90" t="str">
        <f>IF(ISBLANK(A19),"",TEXT(A19,"0"))</f>
        <v>Engineer</v>
      </c>
      <c r="P20" s="90"/>
      <c r="Q20" s="90"/>
      <c r="R20" s="90" t="str">
        <f>CONCATENATE(D19," ",C19," @ $",B19," per ",C19)</f>
        <v>8 manhour @ $150 per manhour</v>
      </c>
      <c r="S20" s="90"/>
      <c r="T20" s="90"/>
      <c r="U20" s="39">
        <f>D19*B19</f>
        <v>1200</v>
      </c>
    </row>
    <row r="21" spans="1:21" x14ac:dyDescent="0.2">
      <c r="A21" s="4"/>
      <c r="K21" t="s">
        <v>355</v>
      </c>
      <c r="L21">
        <f>J17/27*(K17-L17)</f>
        <v>35.162451611796975</v>
      </c>
      <c r="M21">
        <f>1-M20</f>
        <v>0.42246319395627085</v>
      </c>
      <c r="O21" s="90" t="str">
        <f>IF(ISBLANK(A20),"",TEXT(A20,"0"))</f>
        <v>5 man crew</v>
      </c>
      <c r="P21" s="90"/>
      <c r="Q21" s="90"/>
      <c r="R21" s="90" t="str">
        <f>CONCATENATE(D20," ",C20," @ $",B20," per ",C20)</f>
        <v>13 day @ $640 per day</v>
      </c>
      <c r="S21" s="90"/>
      <c r="T21" s="90"/>
      <c r="U21" s="39">
        <f>D20*B20</f>
        <v>8320</v>
      </c>
    </row>
    <row r="22" spans="1:21" x14ac:dyDescent="0.2">
      <c r="O22" s="90" t="str">
        <f>IF(ISBLANK(A21),"",TEXT(A21,"0"))</f>
        <v/>
      </c>
      <c r="P22" s="90"/>
      <c r="Q22" s="90"/>
      <c r="R22" s="90"/>
      <c r="S22" s="90"/>
    </row>
    <row r="23" spans="1:21" x14ac:dyDescent="0.2">
      <c r="O23" s="90" t="str">
        <f>IF(ISBLANK(A22),"",TEXT(A22,"0"))</f>
        <v/>
      </c>
      <c r="P23" s="90"/>
      <c r="Q23" s="90"/>
      <c r="R23" s="90"/>
      <c r="S23" s="90"/>
    </row>
    <row r="24" spans="1:21" x14ac:dyDescent="0.2">
      <c r="G24" t="s">
        <v>296</v>
      </c>
      <c r="O24" s="90" t="str">
        <f>IF(ISBLANK(A25),"",TEXT(A25,"0"))</f>
        <v/>
      </c>
      <c r="P24" s="90"/>
      <c r="Q24" s="90"/>
      <c r="R24" s="90"/>
      <c r="S24" s="90"/>
    </row>
    <row r="25" spans="1:21" x14ac:dyDescent="0.2">
      <c r="G25" t="s">
        <v>297</v>
      </c>
      <c r="H25" s="90" t="s">
        <v>300</v>
      </c>
      <c r="I25" s="90"/>
      <c r="J25" t="s">
        <v>299</v>
      </c>
      <c r="K25" t="s">
        <v>298</v>
      </c>
      <c r="L25" t="s">
        <v>301</v>
      </c>
      <c r="M25" t="s">
        <v>302</v>
      </c>
      <c r="O25" s="90"/>
      <c r="P25" s="90"/>
      <c r="Q25" s="90"/>
      <c r="R25" s="90"/>
      <c r="S25" s="90"/>
      <c r="U25" s="3"/>
    </row>
    <row r="26" spans="1:21" x14ac:dyDescent="0.2">
      <c r="G26">
        <v>3</v>
      </c>
      <c r="H26" s="107"/>
      <c r="I26" s="107"/>
      <c r="J26">
        <v>0.376</v>
      </c>
      <c r="K26">
        <v>0.11</v>
      </c>
      <c r="L26">
        <f>H26*K26/144</f>
        <v>0</v>
      </c>
      <c r="M26">
        <f>H26*J26</f>
        <v>0</v>
      </c>
      <c r="O26" s="90" t="s">
        <v>271</v>
      </c>
      <c r="P26" s="90"/>
      <c r="Q26" s="90"/>
      <c r="R26" s="90"/>
      <c r="S26" s="90"/>
      <c r="U26" s="41">
        <f>SUM(U19:U25)</f>
        <v>12062</v>
      </c>
    </row>
    <row r="27" spans="1:21" x14ac:dyDescent="0.2">
      <c r="G27">
        <v>4</v>
      </c>
      <c r="H27" s="107"/>
      <c r="I27" s="107"/>
      <c r="J27">
        <v>0.66800000000000004</v>
      </c>
      <c r="K27">
        <v>0.2</v>
      </c>
      <c r="L27">
        <f t="shared" ref="L27:L34" si="3">H27*K27/144</f>
        <v>0</v>
      </c>
      <c r="M27">
        <f t="shared" ref="M27:M34" si="4">H27*J27</f>
        <v>0</v>
      </c>
      <c r="O27" s="106" t="s">
        <v>6</v>
      </c>
      <c r="P27" s="106"/>
      <c r="Q27" s="106"/>
      <c r="R27" s="104"/>
      <c r="S27" s="104"/>
      <c r="T27" s="35"/>
      <c r="U27" s="35"/>
    </row>
    <row r="28" spans="1:21" x14ac:dyDescent="0.2">
      <c r="G28">
        <v>5</v>
      </c>
      <c r="H28" s="107"/>
      <c r="I28" s="107"/>
      <c r="J28">
        <v>1.0429999999999999</v>
      </c>
      <c r="K28">
        <v>0.31</v>
      </c>
      <c r="L28">
        <f t="shared" si="3"/>
        <v>0</v>
      </c>
      <c r="M28">
        <f t="shared" si="4"/>
        <v>0</v>
      </c>
      <c r="O28" s="90"/>
      <c r="P28" s="90"/>
      <c r="Q28" s="90"/>
      <c r="R28" s="90"/>
      <c r="S28" s="90"/>
    </row>
    <row r="29" spans="1:21" x14ac:dyDescent="0.2">
      <c r="G29">
        <v>6</v>
      </c>
      <c r="H29" s="107"/>
      <c r="I29" s="107"/>
      <c r="J29">
        <v>1.502</v>
      </c>
      <c r="K29">
        <v>0.44</v>
      </c>
      <c r="L29">
        <f t="shared" si="3"/>
        <v>0</v>
      </c>
      <c r="M29">
        <f t="shared" si="4"/>
        <v>0</v>
      </c>
      <c r="O29" s="90" t="str">
        <f>IF(ISBLANK(A32),"",TEXT(A32,"0"))</f>
        <v>Opportunity Cost</v>
      </c>
      <c r="P29" s="90"/>
      <c r="Q29" s="90"/>
      <c r="R29" s="90" t="str">
        <f>CONCATENATE(D32," ",C32," @ ",B34,"% per annum")</f>
        <v>13 days tied up @ 3.5% per annum</v>
      </c>
      <c r="S29" s="90"/>
      <c r="T29" s="90"/>
      <c r="U29" s="39">
        <f>D32*B32</f>
        <v>52.281544882191788</v>
      </c>
    </row>
    <row r="30" spans="1:21" x14ac:dyDescent="0.2">
      <c r="G30">
        <v>7</v>
      </c>
      <c r="H30" s="107">
        <v>10510</v>
      </c>
      <c r="I30" s="107"/>
      <c r="J30">
        <v>2.044</v>
      </c>
      <c r="K30">
        <v>0.6</v>
      </c>
      <c r="L30">
        <f t="shared" si="3"/>
        <v>43.791666666666664</v>
      </c>
      <c r="M30">
        <f t="shared" si="4"/>
        <v>21482.44</v>
      </c>
      <c r="R30" s="90"/>
      <c r="S30" s="90"/>
      <c r="T30" s="90"/>
      <c r="U30" s="41"/>
    </row>
    <row r="31" spans="1:21" x14ac:dyDescent="0.2">
      <c r="A31" s="1" t="s">
        <v>6</v>
      </c>
      <c r="B31" s="1"/>
      <c r="C31" s="1"/>
      <c r="D31" s="1"/>
      <c r="G31">
        <v>8</v>
      </c>
      <c r="H31" s="107">
        <v>3632</v>
      </c>
      <c r="I31" s="107"/>
      <c r="J31">
        <v>2.67</v>
      </c>
      <c r="K31">
        <v>0.79</v>
      </c>
      <c r="L31">
        <f t="shared" si="3"/>
        <v>19.925555555555558</v>
      </c>
      <c r="M31">
        <f t="shared" si="4"/>
        <v>9697.44</v>
      </c>
      <c r="O31" s="90" t="s">
        <v>276</v>
      </c>
      <c r="P31" s="90"/>
      <c r="Q31" s="90"/>
      <c r="R31" s="90"/>
      <c r="S31" s="90"/>
      <c r="T31" s="90"/>
      <c r="U31" s="48">
        <f>SUM(U16+U26+U29)</f>
        <v>41992.421944882197</v>
      </c>
    </row>
    <row r="32" spans="1:21" x14ac:dyDescent="0.2">
      <c r="A32" t="s">
        <v>351</v>
      </c>
      <c r="B32">
        <f>(U26+U16)*(B34/100/365)</f>
        <v>4.0216572986301378</v>
      </c>
      <c r="C32" t="s">
        <v>313</v>
      </c>
      <c r="D32" s="6">
        <f>'Schedule Analysis'!F26</f>
        <v>13</v>
      </c>
      <c r="G32">
        <v>9</v>
      </c>
      <c r="H32" s="107"/>
      <c r="I32" s="107"/>
      <c r="J32">
        <v>3.4</v>
      </c>
      <c r="K32">
        <v>1</v>
      </c>
      <c r="L32">
        <f t="shared" si="3"/>
        <v>0</v>
      </c>
      <c r="M32">
        <f t="shared" si="4"/>
        <v>0</v>
      </c>
      <c r="O32" s="90" t="str">
        <f>IF(ISBLANK(A33),"",TEXT(A33,"0"))</f>
        <v>Cost of Capital Benchmark</v>
      </c>
      <c r="P32" s="90"/>
      <c r="Q32" s="90"/>
      <c r="R32" s="90" t="str">
        <f>CONCATENATE(ROUND(100*(B33-1),1)," % ",C33)</f>
        <v>8 % multiplier</v>
      </c>
      <c r="S32" s="90"/>
      <c r="T32" s="90"/>
      <c r="U32" s="78" t="str">
        <f>CONCATENATE("x ",ROUND(B33,3))</f>
        <v>x 1.08</v>
      </c>
    </row>
    <row r="33" spans="1:21" x14ac:dyDescent="0.2">
      <c r="A33" s="4" t="s">
        <v>9</v>
      </c>
      <c r="B33" s="79">
        <v>1.08</v>
      </c>
      <c r="C33" t="s">
        <v>311</v>
      </c>
      <c r="D33" s="80"/>
      <c r="G33">
        <v>10</v>
      </c>
      <c r="H33" s="107"/>
      <c r="I33" s="107"/>
      <c r="J33">
        <v>4.3029999999999999</v>
      </c>
      <c r="K33">
        <v>1.27</v>
      </c>
      <c r="L33">
        <f t="shared" si="3"/>
        <v>0</v>
      </c>
      <c r="M33">
        <f t="shared" si="4"/>
        <v>0</v>
      </c>
      <c r="O33" s="90" t="s">
        <v>312</v>
      </c>
      <c r="P33" s="90"/>
      <c r="Q33" s="90"/>
      <c r="R33" s="90"/>
      <c r="S33" s="90"/>
      <c r="U33" s="42">
        <f>U31*B33</f>
        <v>45351.815700472776</v>
      </c>
    </row>
    <row r="34" spans="1:21" x14ac:dyDescent="0.2">
      <c r="A34" t="s">
        <v>314</v>
      </c>
      <c r="B34" s="2">
        <v>3.5</v>
      </c>
      <c r="C34" s="2" t="s">
        <v>10</v>
      </c>
      <c r="D34" s="2" t="s">
        <v>315</v>
      </c>
      <c r="G34">
        <v>11</v>
      </c>
      <c r="H34" s="107"/>
      <c r="I34" s="107"/>
      <c r="J34">
        <v>5.3129999999999997</v>
      </c>
      <c r="K34">
        <v>1.56</v>
      </c>
      <c r="L34">
        <f t="shared" si="3"/>
        <v>0</v>
      </c>
      <c r="M34">
        <f t="shared" si="4"/>
        <v>0</v>
      </c>
      <c r="O34" s="105" t="s">
        <v>275</v>
      </c>
      <c r="P34" s="105"/>
      <c r="Q34" s="105"/>
      <c r="R34" s="103"/>
      <c r="S34" s="103"/>
      <c r="T34" s="37"/>
      <c r="U34" s="37"/>
    </row>
    <row r="35" spans="1:21" x14ac:dyDescent="0.2">
      <c r="K35" t="s">
        <v>303</v>
      </c>
      <c r="L35">
        <f>SUM(L26:L34)</f>
        <v>63.717222222222219</v>
      </c>
      <c r="M35">
        <f>SUM(M26:M34)</f>
        <v>31179.879999999997</v>
      </c>
      <c r="O35" s="90"/>
      <c r="P35" s="90"/>
      <c r="Q35" s="90"/>
      <c r="R35" s="90"/>
      <c r="S35" s="90"/>
    </row>
    <row r="36" spans="1:21" x14ac:dyDescent="0.2">
      <c r="G36" t="s">
        <v>309</v>
      </c>
      <c r="O36" s="90" t="str">
        <f>IF(ISBLANK(A38),"",TEXT(A38,"0"))</f>
        <v>Overexcavation</v>
      </c>
      <c r="P36" s="90"/>
      <c r="Q36" s="90"/>
      <c r="R36" s="90" t="str">
        <f>CONCATENATE(D38," ",C38," @ $",B38," per ",C38)</f>
        <v>3703.71 CY @ $2.75 per CY</v>
      </c>
      <c r="S36" s="90"/>
      <c r="T36" s="90"/>
      <c r="U36" s="47">
        <f>D38*B38</f>
        <v>10185.202499999999</v>
      </c>
    </row>
    <row r="37" spans="1:21" x14ac:dyDescent="0.2">
      <c r="A37" s="1" t="s">
        <v>275</v>
      </c>
      <c r="B37" s="1"/>
      <c r="C37" s="1"/>
      <c r="D37" s="1"/>
      <c r="G37" t="s">
        <v>297</v>
      </c>
      <c r="H37" s="90" t="s">
        <v>300</v>
      </c>
      <c r="I37" s="90"/>
      <c r="J37" t="s">
        <v>299</v>
      </c>
      <c r="K37" t="s">
        <v>298</v>
      </c>
      <c r="L37" t="s">
        <v>301</v>
      </c>
      <c r="M37" t="s">
        <v>302</v>
      </c>
      <c r="O37" s="90" t="str">
        <f>IF(ISBLANK(A39),"",TEXT(A39,"0"))</f>
        <v>Standard foundation concrete</v>
      </c>
      <c r="P37" s="90"/>
      <c r="Q37" s="90"/>
      <c r="R37" s="90" t="str">
        <f>CONCATENATE(D39," ",C39," @ $",B39," per ",C39)</f>
        <v>73.49 CY @ $90 per CY</v>
      </c>
      <c r="S37" s="90"/>
      <c r="T37" s="90"/>
      <c r="U37" s="47">
        <f>D39*B39</f>
        <v>6614.1</v>
      </c>
    </row>
    <row r="38" spans="1:21" x14ac:dyDescent="0.2">
      <c r="A38" t="s">
        <v>353</v>
      </c>
      <c r="B38">
        <v>2.75</v>
      </c>
      <c r="C38" t="s">
        <v>266</v>
      </c>
      <c r="D38">
        <f>ROUNDUP((50*100*20/27),2)</f>
        <v>3703.71</v>
      </c>
      <c r="G38">
        <v>4</v>
      </c>
      <c r="H38" s="107"/>
      <c r="I38" s="107"/>
      <c r="J38">
        <v>0.66800000000000004</v>
      </c>
      <c r="K38">
        <v>0.2</v>
      </c>
      <c r="L38">
        <f t="shared" ref="L38:L44" si="5">H38*K38/144</f>
        <v>0</v>
      </c>
      <c r="M38">
        <f t="shared" ref="M38:M44" si="6">H38*J38</f>
        <v>0</v>
      </c>
      <c r="O38" s="90" t="str">
        <f>IF(ISBLANK(A40),"",TEXT(A40,"0"))</f>
        <v>Standard foundation rebar</v>
      </c>
      <c r="P38" s="90"/>
      <c r="Q38" s="90"/>
      <c r="R38" s="90" t="str">
        <f>CONCATENATE(D40," ",C40," @ $",B40," per ",C40)</f>
        <v>15.59 ton @ $700 per ton</v>
      </c>
      <c r="S38" s="90"/>
      <c r="T38" s="90"/>
      <c r="U38" s="47">
        <f>D40*B40</f>
        <v>10913</v>
      </c>
    </row>
    <row r="39" spans="1:21" x14ac:dyDescent="0.2">
      <c r="A39" t="s">
        <v>352</v>
      </c>
      <c r="B39">
        <v>90</v>
      </c>
      <c r="C39" t="s">
        <v>266</v>
      </c>
      <c r="D39">
        <f>ROUNDUP((0.6667*'Slab Design'!C2*'Slab Design'!C3)/27,2)</f>
        <v>73.490000000000009</v>
      </c>
      <c r="G39">
        <v>5</v>
      </c>
      <c r="H39" s="107"/>
      <c r="I39" s="107"/>
      <c r="J39">
        <v>1.0429999999999999</v>
      </c>
      <c r="K39">
        <v>0.31</v>
      </c>
      <c r="L39">
        <f t="shared" si="5"/>
        <v>0</v>
      </c>
      <c r="M39">
        <f t="shared" si="6"/>
        <v>0</v>
      </c>
      <c r="O39" s="90" t="s">
        <v>329</v>
      </c>
      <c r="P39" s="90"/>
      <c r="Q39" s="90"/>
      <c r="R39" s="90" t="str">
        <f>CONCATENATE(D42," ",C42," @ $",B42," per ",C42)</f>
        <v>28 day @ $640 per day</v>
      </c>
      <c r="S39" s="90"/>
      <c r="T39" s="90"/>
      <c r="U39" s="47">
        <f>B42*D42</f>
        <v>17920</v>
      </c>
    </row>
    <row r="40" spans="1:21" x14ac:dyDescent="0.2">
      <c r="A40" t="s">
        <v>325</v>
      </c>
      <c r="B40">
        <v>700</v>
      </c>
      <c r="C40" t="s">
        <v>265</v>
      </c>
      <c r="D40">
        <f>D7</f>
        <v>15.59</v>
      </c>
      <c r="G40">
        <v>6</v>
      </c>
      <c r="H40" s="107"/>
      <c r="I40" s="107"/>
      <c r="J40">
        <v>1.502</v>
      </c>
      <c r="K40">
        <v>0.44</v>
      </c>
      <c r="L40">
        <f t="shared" si="5"/>
        <v>0</v>
      </c>
      <c r="M40">
        <f t="shared" si="6"/>
        <v>0</v>
      </c>
      <c r="O40" s="90" t="s">
        <v>351</v>
      </c>
      <c r="P40" s="90"/>
      <c r="Q40" s="90"/>
      <c r="R40" s="90" t="str">
        <f>CONCATENATE(D41," ",C41," @ ",B34,"% per annum")</f>
        <v>210 days tied up @ 3.5% per annum</v>
      </c>
      <c r="S40" s="90"/>
      <c r="T40" s="90"/>
      <c r="U40" s="39">
        <f>D41*B41</f>
        <v>918.89705034246583</v>
      </c>
    </row>
    <row r="41" spans="1:21" x14ac:dyDescent="0.2">
      <c r="A41" t="s">
        <v>351</v>
      </c>
      <c r="B41">
        <f>(U36+U37+U38+U39)*(B34/100/365)</f>
        <v>4.3757002397260276</v>
      </c>
      <c r="C41" t="s">
        <v>313</v>
      </c>
      <c r="D41" s="6">
        <f>182+D42</f>
        <v>210</v>
      </c>
      <c r="G41">
        <v>7</v>
      </c>
      <c r="H41" s="107"/>
      <c r="I41" s="107"/>
      <c r="J41">
        <v>2.044</v>
      </c>
      <c r="K41">
        <v>0.6</v>
      </c>
      <c r="L41">
        <f t="shared" si="5"/>
        <v>0</v>
      </c>
      <c r="M41">
        <f t="shared" si="6"/>
        <v>0</v>
      </c>
      <c r="O41" s="90"/>
      <c r="P41" s="90"/>
      <c r="Q41" s="90"/>
      <c r="R41" s="90"/>
      <c r="S41" s="90"/>
      <c r="U41" s="3"/>
    </row>
    <row r="42" spans="1:21" x14ac:dyDescent="0.2">
      <c r="A42" t="s">
        <v>328</v>
      </c>
      <c r="B42">
        <f>5*8*16</f>
        <v>640</v>
      </c>
      <c r="C42" t="s">
        <v>273</v>
      </c>
      <c r="D42" s="6">
        <v>28</v>
      </c>
      <c r="E42" s="4" t="s">
        <v>330</v>
      </c>
      <c r="G42">
        <v>8</v>
      </c>
      <c r="H42" s="107">
        <v>2400</v>
      </c>
      <c r="I42" s="107"/>
      <c r="J42">
        <v>2.67</v>
      </c>
      <c r="K42">
        <v>0.79</v>
      </c>
      <c r="L42">
        <f t="shared" si="5"/>
        <v>13.166666666666666</v>
      </c>
      <c r="M42">
        <f t="shared" si="6"/>
        <v>6408</v>
      </c>
      <c r="O42" s="90" t="s">
        <v>271</v>
      </c>
      <c r="P42" s="90"/>
      <c r="Q42" s="90"/>
      <c r="R42" s="90"/>
      <c r="S42" s="90"/>
      <c r="U42" s="48">
        <f>SUM(U36:U40)</f>
        <v>46551.199550342462</v>
      </c>
    </row>
    <row r="43" spans="1:21" x14ac:dyDescent="0.2">
      <c r="G43">
        <v>9</v>
      </c>
      <c r="H43" s="107"/>
      <c r="I43" s="107"/>
      <c r="J43">
        <v>3.4</v>
      </c>
      <c r="K43">
        <v>1</v>
      </c>
      <c r="L43">
        <f t="shared" si="5"/>
        <v>0</v>
      </c>
      <c r="M43">
        <f t="shared" si="6"/>
        <v>0</v>
      </c>
    </row>
    <row r="44" spans="1:21" x14ac:dyDescent="0.2">
      <c r="G44">
        <v>10</v>
      </c>
      <c r="H44" s="107"/>
      <c r="I44" s="107"/>
      <c r="J44">
        <v>4.3029999999999999</v>
      </c>
      <c r="K44">
        <v>1.27</v>
      </c>
      <c r="L44">
        <f t="shared" si="5"/>
        <v>0</v>
      </c>
      <c r="M44">
        <f t="shared" si="6"/>
        <v>0</v>
      </c>
    </row>
    <row r="45" spans="1:21" x14ac:dyDescent="0.2">
      <c r="K45" t="s">
        <v>303</v>
      </c>
      <c r="L45">
        <f>SUM(L38:L44)</f>
        <v>13.166666666666666</v>
      </c>
      <c r="M45">
        <f>SUM(M38:M44)</f>
        <v>6408</v>
      </c>
      <c r="O45" s="38" t="s">
        <v>282</v>
      </c>
      <c r="P45" s="38"/>
      <c r="Q45" s="38"/>
      <c r="R45" s="38"/>
      <c r="S45" s="38"/>
      <c r="T45" s="38"/>
      <c r="U45" s="44">
        <f>U42-U33</f>
        <v>1199.3838498696859</v>
      </c>
    </row>
  </sheetData>
  <mergeCells count="90">
    <mergeCell ref="R21:T21"/>
    <mergeCell ref="R25:S25"/>
    <mergeCell ref="R26:S26"/>
    <mergeCell ref="R27:S27"/>
    <mergeCell ref="R28:S28"/>
    <mergeCell ref="R31:T31"/>
    <mergeCell ref="O33:Q33"/>
    <mergeCell ref="O38:Q38"/>
    <mergeCell ref="R38:T38"/>
    <mergeCell ref="R37:T37"/>
    <mergeCell ref="R36:T36"/>
    <mergeCell ref="H41:I41"/>
    <mergeCell ref="H42:I42"/>
    <mergeCell ref="H43:I43"/>
    <mergeCell ref="H44:I44"/>
    <mergeCell ref="H37:I37"/>
    <mergeCell ref="H38:I38"/>
    <mergeCell ref="H39:I39"/>
    <mergeCell ref="H40:I40"/>
    <mergeCell ref="H30:I30"/>
    <mergeCell ref="H31:I31"/>
    <mergeCell ref="H32:I32"/>
    <mergeCell ref="H33:I33"/>
    <mergeCell ref="H34:I34"/>
    <mergeCell ref="H25:I25"/>
    <mergeCell ref="H26:I26"/>
    <mergeCell ref="H27:I27"/>
    <mergeCell ref="H28:I28"/>
    <mergeCell ref="H29:I29"/>
    <mergeCell ref="O12:Q12"/>
    <mergeCell ref="O13:Q13"/>
    <mergeCell ref="O14:Q14"/>
    <mergeCell ref="O15:Q15"/>
    <mergeCell ref="O6:Q6"/>
    <mergeCell ref="O7:Q7"/>
    <mergeCell ref="O8:Q8"/>
    <mergeCell ref="O9:Q9"/>
    <mergeCell ref="O10:Q10"/>
    <mergeCell ref="O11:Q11"/>
    <mergeCell ref="O23:Q23"/>
    <mergeCell ref="O24:Q24"/>
    <mergeCell ref="O25:Q25"/>
    <mergeCell ref="O16:Q16"/>
    <mergeCell ref="O18:Q18"/>
    <mergeCell ref="O19:Q19"/>
    <mergeCell ref="O20:Q20"/>
    <mergeCell ref="O21:Q21"/>
    <mergeCell ref="O40:Q40"/>
    <mergeCell ref="O41:Q41"/>
    <mergeCell ref="O42:Q42"/>
    <mergeCell ref="O5:Q5"/>
    <mergeCell ref="O31:Q31"/>
    <mergeCell ref="O34:Q34"/>
    <mergeCell ref="O35:Q35"/>
    <mergeCell ref="O36:Q36"/>
    <mergeCell ref="O37:Q37"/>
    <mergeCell ref="O39:Q39"/>
    <mergeCell ref="O26:Q26"/>
    <mergeCell ref="O27:Q27"/>
    <mergeCell ref="O28:Q28"/>
    <mergeCell ref="O29:Q29"/>
    <mergeCell ref="O32:Q32"/>
    <mergeCell ref="O22:Q22"/>
    <mergeCell ref="R17:S17"/>
    <mergeCell ref="R6:T6"/>
    <mergeCell ref="R8:T8"/>
    <mergeCell ref="R9:T9"/>
    <mergeCell ref="R10:T10"/>
    <mergeCell ref="R11:T11"/>
    <mergeCell ref="R12:T12"/>
    <mergeCell ref="R13:S13"/>
    <mergeCell ref="R14:S14"/>
    <mergeCell ref="R15:S15"/>
    <mergeCell ref="R16:S16"/>
    <mergeCell ref="R18:S18"/>
    <mergeCell ref="R22:S22"/>
    <mergeCell ref="R23:S23"/>
    <mergeCell ref="R24:S24"/>
    <mergeCell ref="R42:S42"/>
    <mergeCell ref="R33:S33"/>
    <mergeCell ref="R34:S34"/>
    <mergeCell ref="R35:S35"/>
    <mergeCell ref="R32:T32"/>
    <mergeCell ref="R41:S41"/>
    <mergeCell ref="R39:T39"/>
    <mergeCell ref="R30:T30"/>
    <mergeCell ref="R29:T29"/>
    <mergeCell ref="R20:T20"/>
    <mergeCell ref="R19:T19"/>
    <mergeCell ref="R40:T40"/>
  </mergeCells>
  <hyperlinks>
    <hyperlink ref="A4" r:id="rId1" xr:uid="{B36C8316-6FC1-1140-B2D6-EEA7A409C729}"/>
    <hyperlink ref="K6" r:id="rId2" xr:uid="{B59292B9-F525-C14B-A9F1-A7155555D310}"/>
    <hyperlink ref="A5" r:id="rId3" xr:uid="{4A595858-0D19-EE45-983B-3121D3404A98}"/>
    <hyperlink ref="A33" r:id="rId4" xr:uid="{B6415C5D-4353-2C45-9D39-AFE777E8107B}"/>
    <hyperlink ref="A18" r:id="rId5" xr:uid="{5A27B70D-6819-CE41-A6A5-BDAC3A0A2382}"/>
    <hyperlink ref="A19" r:id="rId6" location="rates" xr:uid="{88A56F27-A5C7-B24D-A6B9-D244AF03639A}"/>
    <hyperlink ref="A6" r:id="rId7" xr:uid="{91B5EB3E-3CE8-314B-AB1E-F7F88E29F79A}"/>
    <hyperlink ref="A7" r:id="rId8" xr:uid="{D7B05993-5140-F94E-A29A-FBA7AFBDE9BF}"/>
    <hyperlink ref="A20" r:id="rId9" xr:uid="{C4102D22-2277-8A45-BE19-1382484DF4BF}"/>
    <hyperlink ref="E42" r:id="rId10" xr:uid="{7A2E4E17-9124-3346-A4A5-DBA7F4E60522}"/>
    <hyperlink ref="B20" r:id="rId11" display="https://www.salary.com/research/salary/listing/concrete-laborer-hourly-wages" xr:uid="{C89321B5-F747-8742-9584-C38B1D95BAEC}"/>
  </hyperlinks>
  <pageMargins left="0.7" right="0.7" top="0.75" bottom="0.75" header="0.3" footer="0.3"/>
  <pageSetup orientation="portrait" horizontalDpi="0" verticalDpi="0"/>
  <headerFooter>
    <oddHeader>&amp;CTella Firma Cost Breakdown</oddHeader>
  </headerFooter>
  <drawing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E090A-223A-414D-A420-942A1FB5863F}">
  <dimension ref="A1:JB35"/>
  <sheetViews>
    <sheetView zoomScale="83" workbookViewId="0">
      <selection activeCell="R20" sqref="R20"/>
    </sheetView>
  </sheetViews>
  <sheetFormatPr baseColWidth="10" defaultColWidth="5" defaultRowHeight="30" customHeight="1" x14ac:dyDescent="0.2"/>
  <sheetData>
    <row r="1" spans="1:262" ht="30" customHeight="1" x14ac:dyDescent="0.2">
      <c r="A1" s="8"/>
      <c r="B1" s="8"/>
      <c r="C1" s="8"/>
      <c r="D1" s="8"/>
      <c r="E1" s="8"/>
      <c r="F1" s="8"/>
      <c r="G1" s="11"/>
      <c r="H1" s="5"/>
      <c r="I1" s="5"/>
      <c r="J1" s="5"/>
      <c r="K1" s="5"/>
      <c r="L1" s="5"/>
      <c r="M1" s="5"/>
      <c r="N1" s="5"/>
      <c r="O1" s="5"/>
      <c r="P1" s="5"/>
      <c r="Q1" s="88"/>
      <c r="R1" s="5"/>
      <c r="S1" s="5"/>
      <c r="T1" s="5"/>
      <c r="U1" s="5"/>
      <c r="V1" s="5"/>
      <c r="AA1" s="11"/>
      <c r="AK1" s="11"/>
      <c r="AU1" s="11"/>
      <c r="BE1" s="11"/>
      <c r="BO1" s="11"/>
      <c r="BY1" s="11"/>
      <c r="CI1" s="11"/>
      <c r="CS1" s="11"/>
      <c r="DC1" s="11"/>
      <c r="DM1" s="11"/>
      <c r="DW1" s="11"/>
      <c r="EG1" s="11"/>
      <c r="EQ1" s="11"/>
      <c r="FA1" s="11"/>
      <c r="FK1" s="11"/>
      <c r="FU1" s="11"/>
      <c r="GE1" s="76"/>
      <c r="GO1" s="11"/>
      <c r="GY1" s="11"/>
      <c r="HI1" s="11"/>
      <c r="HS1" s="11"/>
      <c r="IC1" s="11"/>
      <c r="IM1" s="11"/>
      <c r="IW1" s="11"/>
    </row>
    <row r="2" spans="1:262" ht="30" customHeight="1" x14ac:dyDescent="0.2">
      <c r="A2" s="8"/>
      <c r="B2" s="8"/>
      <c r="C2" s="8"/>
      <c r="D2" s="8"/>
      <c r="E2" s="8"/>
      <c r="F2" s="8"/>
      <c r="G2" s="11"/>
      <c r="H2" s="5"/>
      <c r="I2" s="5"/>
      <c r="J2" s="5"/>
      <c r="K2" s="5"/>
      <c r="L2" s="5"/>
      <c r="M2" s="5"/>
      <c r="N2" s="5"/>
      <c r="O2" s="5"/>
      <c r="P2" s="5"/>
      <c r="Q2" s="88"/>
      <c r="R2" s="5"/>
      <c r="S2" s="5"/>
      <c r="T2" s="5"/>
      <c r="U2" s="5"/>
      <c r="V2" s="5"/>
      <c r="AA2" s="11"/>
      <c r="AK2" s="11"/>
      <c r="AU2" s="11"/>
      <c r="BE2" s="11"/>
      <c r="BO2" s="11"/>
      <c r="BY2" s="11"/>
      <c r="CI2" s="11"/>
      <c r="CS2" s="11"/>
      <c r="DC2" s="11"/>
      <c r="DM2" s="11"/>
      <c r="DW2" s="11"/>
      <c r="EG2" s="11"/>
      <c r="EQ2" s="11"/>
      <c r="FA2" s="11"/>
      <c r="FK2" s="11"/>
      <c r="FU2" s="11"/>
      <c r="GE2" s="76"/>
      <c r="GO2" s="11"/>
      <c r="GY2" s="11"/>
      <c r="HI2" s="11"/>
      <c r="HS2" s="11"/>
      <c r="IC2" s="11"/>
      <c r="IM2" s="11"/>
      <c r="IW2" s="11"/>
    </row>
    <row r="3" spans="1:262" ht="30" customHeight="1" x14ac:dyDescent="0.2">
      <c r="A3" s="98" t="s">
        <v>331</v>
      </c>
      <c r="B3" s="98"/>
      <c r="C3" s="98"/>
      <c r="D3" s="98"/>
      <c r="E3" s="98"/>
      <c r="F3" s="98"/>
      <c r="G3" s="111"/>
      <c r="H3" s="5">
        <f>IF(H8&lt;=$D$4,1,0)</f>
        <v>1</v>
      </c>
      <c r="I3" s="5">
        <f t="shared" ref="I3:BK3" si="0">IF(I8&lt;=$D$4,1,0)</f>
        <v>1</v>
      </c>
      <c r="J3" s="5">
        <f t="shared" si="0"/>
        <v>1</v>
      </c>
      <c r="K3" s="5">
        <f t="shared" si="0"/>
        <v>1</v>
      </c>
      <c r="L3" s="5">
        <f t="shared" si="0"/>
        <v>1</v>
      </c>
      <c r="M3" s="5">
        <f t="shared" si="0"/>
        <v>1</v>
      </c>
      <c r="N3" s="5">
        <f t="shared" si="0"/>
        <v>1</v>
      </c>
      <c r="O3" s="5">
        <f t="shared" si="0"/>
        <v>1</v>
      </c>
      <c r="P3" s="5">
        <f t="shared" si="0"/>
        <v>1</v>
      </c>
      <c r="Q3" s="88">
        <f t="shared" si="0"/>
        <v>1</v>
      </c>
      <c r="R3" s="5">
        <f t="shared" si="0"/>
        <v>1</v>
      </c>
      <c r="S3" s="5">
        <f t="shared" si="0"/>
        <v>1</v>
      </c>
      <c r="T3" s="5">
        <f t="shared" si="0"/>
        <v>1</v>
      </c>
      <c r="U3" s="5">
        <f t="shared" si="0"/>
        <v>0</v>
      </c>
      <c r="V3" s="5">
        <f t="shared" si="0"/>
        <v>0</v>
      </c>
      <c r="W3" s="72">
        <f t="shared" si="0"/>
        <v>0</v>
      </c>
      <c r="X3" s="72">
        <f t="shared" si="0"/>
        <v>0</v>
      </c>
      <c r="Y3" s="72">
        <f t="shared" si="0"/>
        <v>0</v>
      </c>
      <c r="Z3" s="72">
        <f t="shared" si="0"/>
        <v>0</v>
      </c>
      <c r="AA3" s="74">
        <f t="shared" si="0"/>
        <v>0</v>
      </c>
      <c r="AB3" s="72">
        <f t="shared" si="0"/>
        <v>0</v>
      </c>
      <c r="AC3" s="72">
        <f t="shared" si="0"/>
        <v>0</v>
      </c>
      <c r="AD3" s="72">
        <f t="shared" si="0"/>
        <v>0</v>
      </c>
      <c r="AE3" s="72">
        <f t="shared" si="0"/>
        <v>0</v>
      </c>
      <c r="AF3" s="72">
        <f t="shared" si="0"/>
        <v>0</v>
      </c>
      <c r="AG3" s="72">
        <f t="shared" si="0"/>
        <v>0</v>
      </c>
      <c r="AH3" s="72">
        <f t="shared" si="0"/>
        <v>0</v>
      </c>
      <c r="AI3" s="72">
        <f t="shared" si="0"/>
        <v>0</v>
      </c>
      <c r="AJ3" s="72">
        <f t="shared" si="0"/>
        <v>0</v>
      </c>
      <c r="AK3" s="74">
        <f t="shared" si="0"/>
        <v>0</v>
      </c>
      <c r="AL3" s="72">
        <f t="shared" si="0"/>
        <v>0</v>
      </c>
      <c r="AM3" s="72">
        <f t="shared" si="0"/>
        <v>0</v>
      </c>
      <c r="AN3" s="72">
        <f t="shared" si="0"/>
        <v>0</v>
      </c>
      <c r="AO3" s="72">
        <f t="shared" si="0"/>
        <v>0</v>
      </c>
      <c r="AP3" s="72">
        <f t="shared" si="0"/>
        <v>0</v>
      </c>
      <c r="AQ3" s="72">
        <f t="shared" si="0"/>
        <v>0</v>
      </c>
      <c r="AR3" s="72">
        <f t="shared" si="0"/>
        <v>0</v>
      </c>
      <c r="AS3" s="72">
        <f t="shared" si="0"/>
        <v>0</v>
      </c>
      <c r="AT3" s="72">
        <f t="shared" si="0"/>
        <v>0</v>
      </c>
      <c r="AU3" s="74">
        <f t="shared" si="0"/>
        <v>0</v>
      </c>
      <c r="AV3" s="72">
        <f t="shared" si="0"/>
        <v>0</v>
      </c>
      <c r="AW3" s="72">
        <f t="shared" si="0"/>
        <v>0</v>
      </c>
      <c r="AX3" s="72">
        <f t="shared" si="0"/>
        <v>0</v>
      </c>
      <c r="AY3" s="72">
        <f t="shared" si="0"/>
        <v>0</v>
      </c>
      <c r="AZ3" s="72">
        <f t="shared" si="0"/>
        <v>0</v>
      </c>
      <c r="BA3" s="72">
        <f t="shared" si="0"/>
        <v>0</v>
      </c>
      <c r="BB3" s="72">
        <f t="shared" si="0"/>
        <v>0</v>
      </c>
      <c r="BC3" s="72">
        <f t="shared" si="0"/>
        <v>0</v>
      </c>
      <c r="BD3" s="72">
        <f t="shared" si="0"/>
        <v>0</v>
      </c>
      <c r="BE3" s="74">
        <f t="shared" si="0"/>
        <v>0</v>
      </c>
      <c r="BF3" s="72">
        <f t="shared" si="0"/>
        <v>0</v>
      </c>
      <c r="BG3" s="72">
        <f t="shared" si="0"/>
        <v>0</v>
      </c>
      <c r="BH3" s="72">
        <f t="shared" si="0"/>
        <v>0</v>
      </c>
      <c r="BI3" s="72">
        <f t="shared" si="0"/>
        <v>0</v>
      </c>
      <c r="BJ3" s="72">
        <f t="shared" si="0"/>
        <v>0</v>
      </c>
      <c r="BK3" s="72">
        <f t="shared" si="0"/>
        <v>0</v>
      </c>
      <c r="BO3" s="11"/>
      <c r="BY3" s="11"/>
      <c r="CI3" s="11"/>
      <c r="CS3" s="11"/>
      <c r="DC3" s="11"/>
      <c r="DM3" s="11"/>
      <c r="DW3" s="11"/>
      <c r="EG3" s="11"/>
      <c r="EQ3" s="11"/>
      <c r="FA3" s="11"/>
      <c r="FK3" s="11"/>
      <c r="FU3" s="11"/>
      <c r="GE3" s="76"/>
      <c r="GG3" s="5"/>
      <c r="GH3" s="5"/>
      <c r="GI3" s="5"/>
      <c r="GJ3" s="5"/>
      <c r="GK3" s="5"/>
      <c r="GO3" s="11"/>
      <c r="GY3" s="11"/>
      <c r="HI3" s="11"/>
      <c r="HS3" s="11"/>
      <c r="IC3" s="11"/>
      <c r="IM3" s="11"/>
      <c r="IW3" s="11"/>
    </row>
    <row r="4" spans="1:262" ht="30" customHeight="1" x14ac:dyDescent="0.2">
      <c r="A4" s="8"/>
      <c r="B4" s="8"/>
      <c r="C4" s="8"/>
      <c r="D4" s="8">
        <v>13</v>
      </c>
      <c r="E4" s="8" t="s">
        <v>333</v>
      </c>
      <c r="F4" s="8"/>
      <c r="G4" s="11"/>
      <c r="H4" s="108"/>
      <c r="I4" s="102"/>
      <c r="J4" s="5"/>
      <c r="K4" s="102"/>
      <c r="L4" s="102"/>
      <c r="M4" s="102"/>
      <c r="N4" s="5"/>
      <c r="O4" s="5"/>
      <c r="P4" s="5"/>
      <c r="Q4" s="88"/>
      <c r="R4" s="5"/>
      <c r="S4" s="5"/>
      <c r="T4" s="5"/>
      <c r="U4" s="5"/>
      <c r="V4" s="5"/>
      <c r="AA4" s="11"/>
      <c r="AK4" s="11"/>
      <c r="AU4" s="11"/>
      <c r="BE4" s="11"/>
      <c r="BO4" s="11"/>
      <c r="BY4" s="11"/>
      <c r="CI4" s="11"/>
      <c r="CS4" s="11"/>
      <c r="DC4" s="11"/>
      <c r="DM4" s="11"/>
      <c r="DW4" s="11"/>
      <c r="EG4" s="11"/>
      <c r="EQ4" s="11"/>
      <c r="FA4" s="11"/>
      <c r="FK4" s="11"/>
      <c r="FU4" s="11"/>
      <c r="GE4" s="76"/>
      <c r="GG4" s="5"/>
      <c r="GH4" s="5"/>
      <c r="GI4" s="5"/>
      <c r="GJ4" s="5"/>
      <c r="GK4" s="5"/>
      <c r="GO4" s="11"/>
      <c r="GY4" s="11"/>
      <c r="HI4" s="11"/>
      <c r="HS4" s="11"/>
      <c r="IC4" s="11"/>
      <c r="IM4" s="11"/>
      <c r="IW4" s="11"/>
      <c r="IX4" s="5"/>
      <c r="IY4" s="5"/>
      <c r="IZ4" s="5"/>
      <c r="JA4" s="5"/>
      <c r="JB4" s="5"/>
    </row>
    <row r="5" spans="1:262" ht="30" customHeight="1" x14ac:dyDescent="0.2">
      <c r="A5" s="8"/>
      <c r="B5" s="8"/>
      <c r="C5" s="8"/>
      <c r="D5" s="8"/>
      <c r="E5" s="8"/>
      <c r="F5" s="8"/>
      <c r="G5" s="11"/>
      <c r="H5" s="5"/>
      <c r="I5" s="5"/>
      <c r="J5" s="5"/>
      <c r="K5" s="5"/>
      <c r="L5" s="5"/>
      <c r="M5" s="5"/>
      <c r="N5" s="5"/>
      <c r="O5" s="5"/>
      <c r="P5" s="5"/>
      <c r="Q5" s="88"/>
      <c r="R5" s="5"/>
      <c r="S5" s="5"/>
      <c r="T5" s="5"/>
      <c r="U5" s="5"/>
      <c r="V5" s="5"/>
      <c r="AA5" s="11"/>
      <c r="AK5" s="11"/>
      <c r="AU5" s="11"/>
      <c r="BE5" s="11"/>
      <c r="BO5" s="11"/>
      <c r="BY5" s="11"/>
      <c r="CI5" s="11"/>
      <c r="CS5" s="11"/>
      <c r="DC5" s="11"/>
      <c r="DM5" s="11"/>
      <c r="DW5" s="11"/>
      <c r="EG5" s="11"/>
      <c r="EQ5" s="11"/>
      <c r="FA5" s="11"/>
      <c r="FK5" s="11"/>
      <c r="FU5" s="11"/>
      <c r="GE5" s="76"/>
      <c r="GG5" s="5"/>
      <c r="GH5" s="5"/>
      <c r="GI5" s="5"/>
      <c r="GJ5" s="5"/>
      <c r="GK5" s="5"/>
      <c r="GO5" s="11"/>
      <c r="GY5" s="11"/>
      <c r="HI5" s="11"/>
      <c r="HS5" s="11"/>
      <c r="IC5" s="11"/>
      <c r="IM5" s="11"/>
      <c r="IW5" s="11"/>
      <c r="IX5" s="5"/>
      <c r="IY5" s="5"/>
      <c r="IZ5" s="5"/>
      <c r="JA5" s="5"/>
      <c r="JB5" s="5"/>
    </row>
    <row r="6" spans="1:262" ht="30" customHeight="1" x14ac:dyDescent="0.2">
      <c r="A6" s="98" t="s">
        <v>332</v>
      </c>
      <c r="B6" s="98"/>
      <c r="C6" s="98"/>
      <c r="D6" s="98"/>
      <c r="E6" s="98"/>
      <c r="F6" s="98"/>
      <c r="G6" s="111"/>
      <c r="H6" s="71">
        <f>IF(H8&lt;=$D$7,1,0)</f>
        <v>1</v>
      </c>
      <c r="I6" s="71">
        <f t="shared" ref="I6:BT6" si="1">IF(I8&lt;=$D$7,1,0)</f>
        <v>1</v>
      </c>
      <c r="J6" s="71">
        <f t="shared" si="1"/>
        <v>1</v>
      </c>
      <c r="K6" s="71">
        <f t="shared" si="1"/>
        <v>1</v>
      </c>
      <c r="L6" s="71">
        <f t="shared" si="1"/>
        <v>1</v>
      </c>
      <c r="M6" s="71">
        <f t="shared" si="1"/>
        <v>1</v>
      </c>
      <c r="N6" s="71">
        <f t="shared" si="1"/>
        <v>1</v>
      </c>
      <c r="O6" s="71">
        <f t="shared" si="1"/>
        <v>1</v>
      </c>
      <c r="P6" s="71">
        <f t="shared" si="1"/>
        <v>1</v>
      </c>
      <c r="Q6" s="75">
        <f t="shared" si="1"/>
        <v>1</v>
      </c>
      <c r="R6" s="71">
        <f t="shared" si="1"/>
        <v>1</v>
      </c>
      <c r="S6" s="71">
        <f t="shared" si="1"/>
        <v>1</v>
      </c>
      <c r="T6" s="71">
        <f t="shared" si="1"/>
        <v>1</v>
      </c>
      <c r="U6" s="71">
        <f t="shared" si="1"/>
        <v>1</v>
      </c>
      <c r="V6" s="71">
        <f t="shared" si="1"/>
        <v>1</v>
      </c>
      <c r="W6" s="71">
        <f t="shared" si="1"/>
        <v>1</v>
      </c>
      <c r="X6" s="71">
        <f t="shared" si="1"/>
        <v>1</v>
      </c>
      <c r="Y6" s="71">
        <f t="shared" si="1"/>
        <v>1</v>
      </c>
      <c r="Z6" s="71">
        <f t="shared" si="1"/>
        <v>1</v>
      </c>
      <c r="AA6" s="75">
        <f t="shared" si="1"/>
        <v>1</v>
      </c>
      <c r="AB6" s="71">
        <f t="shared" si="1"/>
        <v>1</v>
      </c>
      <c r="AC6" s="71">
        <f t="shared" si="1"/>
        <v>1</v>
      </c>
      <c r="AD6" s="71">
        <f t="shared" si="1"/>
        <v>1</v>
      </c>
      <c r="AE6" s="71">
        <f t="shared" si="1"/>
        <v>1</v>
      </c>
      <c r="AF6" s="71">
        <f t="shared" si="1"/>
        <v>1</v>
      </c>
      <c r="AG6" s="71">
        <f t="shared" si="1"/>
        <v>1</v>
      </c>
      <c r="AH6" s="71">
        <f t="shared" si="1"/>
        <v>1</v>
      </c>
      <c r="AI6" s="71">
        <f t="shared" si="1"/>
        <v>1</v>
      </c>
      <c r="AJ6" s="71">
        <f t="shared" si="1"/>
        <v>1</v>
      </c>
      <c r="AK6" s="75">
        <f t="shared" si="1"/>
        <v>1</v>
      </c>
      <c r="AL6" s="71">
        <f t="shared" si="1"/>
        <v>1</v>
      </c>
      <c r="AM6" s="71">
        <f t="shared" si="1"/>
        <v>1</v>
      </c>
      <c r="AN6" s="71">
        <f t="shared" si="1"/>
        <v>1</v>
      </c>
      <c r="AO6" s="71">
        <f t="shared" si="1"/>
        <v>1</v>
      </c>
      <c r="AP6" s="71">
        <f t="shared" si="1"/>
        <v>1</v>
      </c>
      <c r="AQ6" s="71">
        <f t="shared" si="1"/>
        <v>1</v>
      </c>
      <c r="AR6" s="71">
        <f t="shared" si="1"/>
        <v>1</v>
      </c>
      <c r="AS6" s="71">
        <f t="shared" si="1"/>
        <v>1</v>
      </c>
      <c r="AT6" s="71">
        <f t="shared" si="1"/>
        <v>1</v>
      </c>
      <c r="AU6" s="75">
        <f t="shared" si="1"/>
        <v>1</v>
      </c>
      <c r="AV6" s="71">
        <f t="shared" si="1"/>
        <v>1</v>
      </c>
      <c r="AW6" s="71">
        <f t="shared" si="1"/>
        <v>1</v>
      </c>
      <c r="AX6" s="71">
        <f t="shared" si="1"/>
        <v>1</v>
      </c>
      <c r="AY6" s="71">
        <f t="shared" si="1"/>
        <v>1</v>
      </c>
      <c r="AZ6" s="71">
        <f t="shared" si="1"/>
        <v>1</v>
      </c>
      <c r="BA6" s="71">
        <f t="shared" si="1"/>
        <v>1</v>
      </c>
      <c r="BB6" s="71">
        <f t="shared" si="1"/>
        <v>1</v>
      </c>
      <c r="BC6" s="71">
        <f t="shared" si="1"/>
        <v>1</v>
      </c>
      <c r="BD6" s="71">
        <f t="shared" si="1"/>
        <v>1</v>
      </c>
      <c r="BE6" s="75">
        <f t="shared" si="1"/>
        <v>1</v>
      </c>
      <c r="BF6" s="71">
        <f t="shared" si="1"/>
        <v>1</v>
      </c>
      <c r="BG6" s="71">
        <f t="shared" si="1"/>
        <v>1</v>
      </c>
      <c r="BH6" s="71">
        <f t="shared" si="1"/>
        <v>1</v>
      </c>
      <c r="BI6" s="71">
        <f t="shared" si="1"/>
        <v>1</v>
      </c>
      <c r="BJ6" s="71">
        <f t="shared" si="1"/>
        <v>1</v>
      </c>
      <c r="BK6" s="71">
        <f t="shared" si="1"/>
        <v>1</v>
      </c>
      <c r="BL6" s="71">
        <f t="shared" si="1"/>
        <v>1</v>
      </c>
      <c r="BM6" s="71">
        <f t="shared" si="1"/>
        <v>1</v>
      </c>
      <c r="BN6" s="71">
        <f t="shared" si="1"/>
        <v>1</v>
      </c>
      <c r="BO6" s="75">
        <f t="shared" si="1"/>
        <v>1</v>
      </c>
      <c r="BP6" s="71">
        <f t="shared" si="1"/>
        <v>1</v>
      </c>
      <c r="BQ6" s="71">
        <f t="shared" si="1"/>
        <v>1</v>
      </c>
      <c r="BR6" s="71">
        <f t="shared" si="1"/>
        <v>1</v>
      </c>
      <c r="BS6" s="71">
        <f t="shared" si="1"/>
        <v>1</v>
      </c>
      <c r="BT6" s="71">
        <f t="shared" si="1"/>
        <v>1</v>
      </c>
      <c r="BU6" s="71">
        <f t="shared" ref="BU6:EF6" si="2">IF(BU8&lt;=$D$7,1,0)</f>
        <v>1</v>
      </c>
      <c r="BV6" s="71">
        <f t="shared" si="2"/>
        <v>1</v>
      </c>
      <c r="BW6" s="71">
        <f t="shared" si="2"/>
        <v>1</v>
      </c>
      <c r="BX6" s="71">
        <f t="shared" si="2"/>
        <v>1</v>
      </c>
      <c r="BY6" s="75">
        <f t="shared" si="2"/>
        <v>1</v>
      </c>
      <c r="BZ6" s="71">
        <f t="shared" si="2"/>
        <v>1</v>
      </c>
      <c r="CA6" s="71">
        <f t="shared" si="2"/>
        <v>1</v>
      </c>
      <c r="CB6" s="71">
        <f t="shared" si="2"/>
        <v>1</v>
      </c>
      <c r="CC6" s="71">
        <f t="shared" si="2"/>
        <v>1</v>
      </c>
      <c r="CD6" s="71">
        <f t="shared" si="2"/>
        <v>1</v>
      </c>
      <c r="CE6" s="71">
        <f t="shared" si="2"/>
        <v>1</v>
      </c>
      <c r="CF6" s="71">
        <f t="shared" si="2"/>
        <v>1</v>
      </c>
      <c r="CG6" s="71">
        <f t="shared" si="2"/>
        <v>1</v>
      </c>
      <c r="CH6" s="71">
        <f t="shared" si="2"/>
        <v>1</v>
      </c>
      <c r="CI6" s="75">
        <f t="shared" si="2"/>
        <v>1</v>
      </c>
      <c r="CJ6" s="71">
        <f t="shared" si="2"/>
        <v>1</v>
      </c>
      <c r="CK6" s="71">
        <f t="shared" si="2"/>
        <v>1</v>
      </c>
      <c r="CL6" s="71">
        <f t="shared" si="2"/>
        <v>1</v>
      </c>
      <c r="CM6" s="71">
        <f t="shared" si="2"/>
        <v>1</v>
      </c>
      <c r="CN6" s="71">
        <f t="shared" si="2"/>
        <v>1</v>
      </c>
      <c r="CO6" s="71">
        <f t="shared" si="2"/>
        <v>1</v>
      </c>
      <c r="CP6" s="71">
        <f t="shared" si="2"/>
        <v>1</v>
      </c>
      <c r="CQ6" s="71">
        <f t="shared" si="2"/>
        <v>1</v>
      </c>
      <c r="CR6" s="71">
        <f t="shared" si="2"/>
        <v>1</v>
      </c>
      <c r="CS6" s="75">
        <f t="shared" si="2"/>
        <v>1</v>
      </c>
      <c r="CT6" s="71">
        <f t="shared" si="2"/>
        <v>1</v>
      </c>
      <c r="CU6" s="71">
        <f t="shared" si="2"/>
        <v>1</v>
      </c>
      <c r="CV6" s="71">
        <f t="shared" si="2"/>
        <v>1</v>
      </c>
      <c r="CW6" s="71">
        <f t="shared" si="2"/>
        <v>1</v>
      </c>
      <c r="CX6" s="71">
        <f t="shared" si="2"/>
        <v>1</v>
      </c>
      <c r="CY6" s="71">
        <f t="shared" si="2"/>
        <v>1</v>
      </c>
      <c r="CZ6" s="71">
        <f t="shared" si="2"/>
        <v>1</v>
      </c>
      <c r="DA6" s="71">
        <f t="shared" si="2"/>
        <v>1</v>
      </c>
      <c r="DB6" s="71">
        <f t="shared" si="2"/>
        <v>1</v>
      </c>
      <c r="DC6" s="75">
        <f t="shared" si="2"/>
        <v>1</v>
      </c>
      <c r="DD6" s="71">
        <f t="shared" si="2"/>
        <v>1</v>
      </c>
      <c r="DE6" s="71">
        <f t="shared" si="2"/>
        <v>1</v>
      </c>
      <c r="DF6" s="71">
        <f t="shared" si="2"/>
        <v>1</v>
      </c>
      <c r="DG6" s="71">
        <f t="shared" si="2"/>
        <v>1</v>
      </c>
      <c r="DH6" s="71">
        <f t="shared" si="2"/>
        <v>1</v>
      </c>
      <c r="DI6" s="71">
        <f t="shared" si="2"/>
        <v>1</v>
      </c>
      <c r="DJ6" s="71">
        <f t="shared" si="2"/>
        <v>1</v>
      </c>
      <c r="DK6" s="71">
        <f t="shared" si="2"/>
        <v>1</v>
      </c>
      <c r="DL6" s="71">
        <f t="shared" si="2"/>
        <v>1</v>
      </c>
      <c r="DM6" s="75">
        <f t="shared" si="2"/>
        <v>1</v>
      </c>
      <c r="DN6" s="71">
        <f t="shared" si="2"/>
        <v>1</v>
      </c>
      <c r="DO6" s="71">
        <f t="shared" si="2"/>
        <v>1</v>
      </c>
      <c r="DP6" s="71">
        <f t="shared" si="2"/>
        <v>1</v>
      </c>
      <c r="DQ6" s="71">
        <f t="shared" si="2"/>
        <v>1</v>
      </c>
      <c r="DR6" s="71">
        <f t="shared" si="2"/>
        <v>1</v>
      </c>
      <c r="DS6" s="71">
        <f t="shared" si="2"/>
        <v>1</v>
      </c>
      <c r="DT6" s="71">
        <f t="shared" si="2"/>
        <v>1</v>
      </c>
      <c r="DU6" s="71">
        <f t="shared" si="2"/>
        <v>1</v>
      </c>
      <c r="DV6" s="71">
        <f t="shared" si="2"/>
        <v>1</v>
      </c>
      <c r="DW6" s="75">
        <f t="shared" si="2"/>
        <v>1</v>
      </c>
      <c r="DX6" s="71">
        <f t="shared" si="2"/>
        <v>1</v>
      </c>
      <c r="DY6" s="71">
        <f t="shared" si="2"/>
        <v>1</v>
      </c>
      <c r="DZ6" s="71">
        <f t="shared" si="2"/>
        <v>1</v>
      </c>
      <c r="EA6" s="71">
        <f t="shared" si="2"/>
        <v>1</v>
      </c>
      <c r="EB6" s="71">
        <f t="shared" si="2"/>
        <v>1</v>
      </c>
      <c r="EC6" s="71">
        <f t="shared" si="2"/>
        <v>1</v>
      </c>
      <c r="ED6" s="71">
        <f t="shared" si="2"/>
        <v>1</v>
      </c>
      <c r="EE6" s="71">
        <f t="shared" si="2"/>
        <v>1</v>
      </c>
      <c r="EF6" s="71">
        <f t="shared" si="2"/>
        <v>1</v>
      </c>
      <c r="EG6" s="75">
        <f t="shared" ref="EG6:GR6" si="3">IF(EG8&lt;=$D$7,1,0)</f>
        <v>1</v>
      </c>
      <c r="EH6" s="71">
        <f t="shared" si="3"/>
        <v>1</v>
      </c>
      <c r="EI6" s="71">
        <f t="shared" si="3"/>
        <v>1</v>
      </c>
      <c r="EJ6" s="71">
        <f t="shared" si="3"/>
        <v>1</v>
      </c>
      <c r="EK6" s="71">
        <f t="shared" si="3"/>
        <v>1</v>
      </c>
      <c r="EL6" s="71">
        <f t="shared" si="3"/>
        <v>1</v>
      </c>
      <c r="EM6" s="71">
        <f t="shared" si="3"/>
        <v>1</v>
      </c>
      <c r="EN6" s="71">
        <f t="shared" si="3"/>
        <v>1</v>
      </c>
      <c r="EO6" s="71">
        <f t="shared" si="3"/>
        <v>1</v>
      </c>
      <c r="EP6" s="71">
        <f t="shared" si="3"/>
        <v>1</v>
      </c>
      <c r="EQ6" s="75">
        <f t="shared" si="3"/>
        <v>1</v>
      </c>
      <c r="ER6" s="71">
        <f t="shared" si="3"/>
        <v>1</v>
      </c>
      <c r="ES6" s="71">
        <f t="shared" si="3"/>
        <v>1</v>
      </c>
      <c r="ET6" s="71">
        <f t="shared" si="3"/>
        <v>1</v>
      </c>
      <c r="EU6" s="71">
        <f t="shared" si="3"/>
        <v>1</v>
      </c>
      <c r="EV6" s="71">
        <f t="shared" si="3"/>
        <v>1</v>
      </c>
      <c r="EW6" s="71">
        <f t="shared" si="3"/>
        <v>1</v>
      </c>
      <c r="EX6" s="71">
        <f t="shared" si="3"/>
        <v>1</v>
      </c>
      <c r="EY6" s="71">
        <f t="shared" si="3"/>
        <v>1</v>
      </c>
      <c r="EZ6" s="71">
        <f t="shared" si="3"/>
        <v>1</v>
      </c>
      <c r="FA6" s="75">
        <f t="shared" si="3"/>
        <v>1</v>
      </c>
      <c r="FB6" s="71">
        <f t="shared" si="3"/>
        <v>1</v>
      </c>
      <c r="FC6" s="71">
        <f t="shared" si="3"/>
        <v>1</v>
      </c>
      <c r="FD6" s="71">
        <f t="shared" si="3"/>
        <v>1</v>
      </c>
      <c r="FE6" s="71">
        <f t="shared" si="3"/>
        <v>1</v>
      </c>
      <c r="FF6" s="71">
        <f t="shared" si="3"/>
        <v>1</v>
      </c>
      <c r="FG6" s="71">
        <f t="shared" si="3"/>
        <v>1</v>
      </c>
      <c r="FH6" s="71">
        <f t="shared" si="3"/>
        <v>1</v>
      </c>
      <c r="FI6" s="71">
        <f t="shared" si="3"/>
        <v>1</v>
      </c>
      <c r="FJ6" s="71">
        <f t="shared" si="3"/>
        <v>1</v>
      </c>
      <c r="FK6" s="75">
        <f t="shared" si="3"/>
        <v>1</v>
      </c>
      <c r="FL6" s="71">
        <f t="shared" si="3"/>
        <v>1</v>
      </c>
      <c r="FM6" s="71">
        <f t="shared" si="3"/>
        <v>1</v>
      </c>
      <c r="FN6" s="71">
        <f t="shared" si="3"/>
        <v>1</v>
      </c>
      <c r="FO6" s="71">
        <f t="shared" si="3"/>
        <v>1</v>
      </c>
      <c r="FP6" s="71">
        <f t="shared" si="3"/>
        <v>1</v>
      </c>
      <c r="FQ6" s="71">
        <f t="shared" si="3"/>
        <v>1</v>
      </c>
      <c r="FR6" s="71">
        <f t="shared" si="3"/>
        <v>1</v>
      </c>
      <c r="FS6" s="71">
        <f t="shared" si="3"/>
        <v>1</v>
      </c>
      <c r="FT6" s="71">
        <f t="shared" si="3"/>
        <v>1</v>
      </c>
      <c r="FU6" s="75">
        <f t="shared" si="3"/>
        <v>1</v>
      </c>
      <c r="FV6" s="71">
        <f t="shared" si="3"/>
        <v>1</v>
      </c>
      <c r="FW6" s="71">
        <f t="shared" si="3"/>
        <v>1</v>
      </c>
      <c r="FX6" s="71">
        <f t="shared" si="3"/>
        <v>1</v>
      </c>
      <c r="FY6" s="71">
        <f t="shared" si="3"/>
        <v>1</v>
      </c>
      <c r="FZ6" s="71">
        <f t="shared" si="3"/>
        <v>1</v>
      </c>
      <c r="GA6" s="71">
        <f t="shared" si="3"/>
        <v>1</v>
      </c>
      <c r="GB6" s="71">
        <f t="shared" si="3"/>
        <v>1</v>
      </c>
      <c r="GC6" s="87">
        <f t="shared" si="3"/>
        <v>1</v>
      </c>
      <c r="GD6" s="71">
        <f t="shared" si="3"/>
        <v>1</v>
      </c>
      <c r="GE6" s="77">
        <f t="shared" si="3"/>
        <v>1</v>
      </c>
      <c r="GF6" s="71">
        <f t="shared" si="3"/>
        <v>1</v>
      </c>
      <c r="GG6" s="5">
        <f t="shared" si="3"/>
        <v>1</v>
      </c>
      <c r="GH6" s="5">
        <f t="shared" si="3"/>
        <v>1</v>
      </c>
      <c r="GI6" s="5">
        <f t="shared" si="3"/>
        <v>1</v>
      </c>
      <c r="GJ6" s="5">
        <f t="shared" si="3"/>
        <v>1</v>
      </c>
      <c r="GK6" s="5">
        <f t="shared" si="3"/>
        <v>1</v>
      </c>
      <c r="GL6" s="71">
        <f t="shared" si="3"/>
        <v>1</v>
      </c>
      <c r="GM6" s="71">
        <f t="shared" si="3"/>
        <v>1</v>
      </c>
      <c r="GN6" s="71">
        <f t="shared" si="3"/>
        <v>1</v>
      </c>
      <c r="GO6" s="75">
        <f t="shared" si="3"/>
        <v>1</v>
      </c>
      <c r="GP6" s="71">
        <f t="shared" si="3"/>
        <v>1</v>
      </c>
      <c r="GQ6" s="71">
        <f t="shared" si="3"/>
        <v>1</v>
      </c>
      <c r="GR6" s="71">
        <f t="shared" si="3"/>
        <v>1</v>
      </c>
      <c r="GS6" s="71">
        <f t="shared" ref="GS6:IW6" si="4">IF(GS8&lt;=$D$7,1,0)</f>
        <v>1</v>
      </c>
      <c r="GT6" s="71">
        <f t="shared" si="4"/>
        <v>1</v>
      </c>
      <c r="GU6" s="71">
        <f t="shared" si="4"/>
        <v>1</v>
      </c>
      <c r="GV6" s="71">
        <f t="shared" si="4"/>
        <v>1</v>
      </c>
      <c r="GW6" s="71">
        <f t="shared" si="4"/>
        <v>1</v>
      </c>
      <c r="GX6" s="71">
        <f t="shared" si="4"/>
        <v>1</v>
      </c>
      <c r="GY6" s="75">
        <f t="shared" si="4"/>
        <v>1</v>
      </c>
      <c r="GZ6" s="71">
        <f t="shared" si="4"/>
        <v>1</v>
      </c>
      <c r="HA6" s="71">
        <f t="shared" si="4"/>
        <v>1</v>
      </c>
      <c r="HB6" s="71">
        <f t="shared" si="4"/>
        <v>1</v>
      </c>
      <c r="HC6" s="71">
        <f t="shared" si="4"/>
        <v>1</v>
      </c>
      <c r="HD6" s="71">
        <f t="shared" si="4"/>
        <v>1</v>
      </c>
      <c r="HE6" s="71">
        <f t="shared" si="4"/>
        <v>1</v>
      </c>
      <c r="HF6" s="71">
        <f t="shared" si="4"/>
        <v>1</v>
      </c>
      <c r="HG6" s="71">
        <f t="shared" si="4"/>
        <v>1</v>
      </c>
      <c r="HH6" s="71">
        <f t="shared" si="4"/>
        <v>1</v>
      </c>
      <c r="HI6" s="75">
        <f t="shared" si="4"/>
        <v>1</v>
      </c>
      <c r="HJ6" s="71">
        <f t="shared" si="4"/>
        <v>0</v>
      </c>
      <c r="HK6" s="71">
        <f t="shared" si="4"/>
        <v>0</v>
      </c>
      <c r="HL6" s="71">
        <f t="shared" si="4"/>
        <v>0</v>
      </c>
      <c r="HM6" s="71">
        <f t="shared" si="4"/>
        <v>0</v>
      </c>
      <c r="HN6" s="71">
        <f t="shared" si="4"/>
        <v>0</v>
      </c>
      <c r="HO6" s="71">
        <f t="shared" si="4"/>
        <v>0</v>
      </c>
      <c r="HP6" s="71">
        <f t="shared" si="4"/>
        <v>0</v>
      </c>
      <c r="HQ6" s="71">
        <f t="shared" si="4"/>
        <v>0</v>
      </c>
      <c r="HR6" s="71">
        <f t="shared" si="4"/>
        <v>0</v>
      </c>
      <c r="HS6" s="75">
        <f t="shared" si="4"/>
        <v>0</v>
      </c>
      <c r="HT6" s="71">
        <f t="shared" si="4"/>
        <v>0</v>
      </c>
      <c r="HU6" s="71">
        <f t="shared" si="4"/>
        <v>0</v>
      </c>
      <c r="HV6" s="71">
        <f t="shared" si="4"/>
        <v>0</v>
      </c>
      <c r="HW6" s="71">
        <f t="shared" si="4"/>
        <v>0</v>
      </c>
      <c r="HX6" s="71">
        <f t="shared" si="4"/>
        <v>0</v>
      </c>
      <c r="HY6" s="71">
        <f t="shared" si="4"/>
        <v>0</v>
      </c>
      <c r="HZ6" s="71">
        <f t="shared" si="4"/>
        <v>0</v>
      </c>
      <c r="IA6" s="71">
        <f t="shared" si="4"/>
        <v>0</v>
      </c>
      <c r="IB6" s="71">
        <f t="shared" si="4"/>
        <v>0</v>
      </c>
      <c r="IC6" s="75">
        <f t="shared" si="4"/>
        <v>0</v>
      </c>
      <c r="ID6" s="71">
        <f t="shared" si="4"/>
        <v>0</v>
      </c>
      <c r="IE6" s="71">
        <f t="shared" si="4"/>
        <v>0</v>
      </c>
      <c r="IF6" s="71">
        <f t="shared" si="4"/>
        <v>0</v>
      </c>
      <c r="IG6" s="71">
        <f t="shared" si="4"/>
        <v>0</v>
      </c>
      <c r="IH6" s="71">
        <f t="shared" si="4"/>
        <v>0</v>
      </c>
      <c r="II6" s="71">
        <f t="shared" si="4"/>
        <v>0</v>
      </c>
      <c r="IJ6" s="71">
        <f t="shared" si="4"/>
        <v>0</v>
      </c>
      <c r="IK6" s="71">
        <f t="shared" si="4"/>
        <v>0</v>
      </c>
      <c r="IL6" s="71">
        <f t="shared" si="4"/>
        <v>0</v>
      </c>
      <c r="IM6" s="75">
        <f t="shared" si="4"/>
        <v>0</v>
      </c>
      <c r="IN6" s="71">
        <f t="shared" si="4"/>
        <v>0</v>
      </c>
      <c r="IO6" s="71">
        <f t="shared" si="4"/>
        <v>0</v>
      </c>
      <c r="IP6" s="71">
        <f t="shared" si="4"/>
        <v>0</v>
      </c>
      <c r="IQ6" s="71">
        <f t="shared" si="4"/>
        <v>0</v>
      </c>
      <c r="IR6" s="71">
        <f t="shared" si="4"/>
        <v>0</v>
      </c>
      <c r="IS6" s="71">
        <f t="shared" si="4"/>
        <v>0</v>
      </c>
      <c r="IT6" s="71">
        <f t="shared" si="4"/>
        <v>0</v>
      </c>
      <c r="IU6" s="71">
        <f t="shared" si="4"/>
        <v>0</v>
      </c>
      <c r="IV6" s="71">
        <f t="shared" si="4"/>
        <v>0</v>
      </c>
      <c r="IW6" s="75">
        <f t="shared" si="4"/>
        <v>0</v>
      </c>
      <c r="IX6" s="5"/>
      <c r="IY6" s="5"/>
      <c r="IZ6" s="5"/>
      <c r="JA6" s="5"/>
      <c r="JB6" s="5"/>
    </row>
    <row r="7" spans="1:262" ht="30" customHeight="1" x14ac:dyDescent="0.2">
      <c r="A7" s="8"/>
      <c r="B7" s="8"/>
      <c r="C7" s="8"/>
      <c r="D7" s="8">
        <f>'Cost Analysis'!D41</f>
        <v>210</v>
      </c>
      <c r="E7" s="8" t="s">
        <v>333</v>
      </c>
      <c r="F7" s="8"/>
      <c r="G7" s="11"/>
      <c r="Q7" s="11"/>
      <c r="AA7" s="11"/>
      <c r="AK7" s="11"/>
      <c r="AU7" s="11"/>
      <c r="BE7" s="11"/>
      <c r="BO7" s="11"/>
      <c r="BY7" s="11"/>
      <c r="CI7" s="11"/>
      <c r="CS7" s="11"/>
      <c r="DC7" s="11"/>
      <c r="DM7" s="11"/>
      <c r="DW7" s="11"/>
      <c r="EG7" s="11"/>
      <c r="EQ7" s="11"/>
      <c r="FA7" s="11"/>
      <c r="FK7" s="11"/>
      <c r="FU7" s="11"/>
      <c r="GE7" s="76"/>
      <c r="GG7" s="5"/>
      <c r="GH7" s="5"/>
      <c r="GI7" s="5"/>
      <c r="GJ7" s="5"/>
      <c r="GK7" s="5"/>
      <c r="GO7" s="11"/>
      <c r="GY7" s="11"/>
      <c r="HI7" s="11"/>
      <c r="HS7" s="11"/>
      <c r="IC7" s="11"/>
      <c r="IM7" s="11"/>
      <c r="IW7" s="11"/>
      <c r="IX7" s="5"/>
      <c r="IY7" s="5"/>
      <c r="IZ7" s="5"/>
      <c r="JA7" s="5"/>
      <c r="JB7" s="5"/>
    </row>
    <row r="8" spans="1:262" s="73" customFormat="1" ht="30" customHeight="1" x14ac:dyDescent="0.2">
      <c r="G8" s="73">
        <v>0</v>
      </c>
      <c r="H8" s="73">
        <v>1</v>
      </c>
      <c r="I8" s="73">
        <v>2</v>
      </c>
      <c r="J8" s="73">
        <v>3</v>
      </c>
      <c r="K8" s="73">
        <v>4</v>
      </c>
      <c r="L8" s="73">
        <v>5</v>
      </c>
      <c r="M8" s="73">
        <v>6</v>
      </c>
      <c r="N8" s="73">
        <v>7</v>
      </c>
      <c r="O8" s="73">
        <v>8</v>
      </c>
      <c r="P8" s="73">
        <v>9</v>
      </c>
      <c r="Q8" s="73">
        <v>10</v>
      </c>
      <c r="R8" s="73">
        <v>11</v>
      </c>
      <c r="S8" s="73">
        <v>12</v>
      </c>
      <c r="T8" s="73">
        <v>13</v>
      </c>
      <c r="U8" s="73">
        <v>14</v>
      </c>
      <c r="V8" s="73">
        <v>15</v>
      </c>
      <c r="W8" s="73">
        <v>16</v>
      </c>
      <c r="X8" s="73">
        <v>17</v>
      </c>
      <c r="Y8" s="73">
        <v>18</v>
      </c>
      <c r="Z8" s="73">
        <v>19</v>
      </c>
      <c r="AA8" s="73">
        <v>20</v>
      </c>
      <c r="AB8" s="73">
        <v>21</v>
      </c>
      <c r="AC8" s="73">
        <v>22</v>
      </c>
      <c r="AD8" s="73">
        <v>23</v>
      </c>
      <c r="AE8" s="73">
        <v>24</v>
      </c>
      <c r="AF8" s="73">
        <v>25</v>
      </c>
      <c r="AG8" s="73">
        <v>26</v>
      </c>
      <c r="AH8" s="73">
        <v>27</v>
      </c>
      <c r="AI8" s="73">
        <v>28</v>
      </c>
      <c r="AJ8" s="73">
        <v>29</v>
      </c>
      <c r="AK8" s="73">
        <v>30</v>
      </c>
      <c r="AL8" s="73">
        <v>31</v>
      </c>
      <c r="AM8" s="73">
        <v>32</v>
      </c>
      <c r="AN8" s="73">
        <v>33</v>
      </c>
      <c r="AO8" s="73">
        <v>34</v>
      </c>
      <c r="AP8" s="73">
        <v>35</v>
      </c>
      <c r="AQ8" s="73">
        <v>36</v>
      </c>
      <c r="AR8" s="73">
        <v>37</v>
      </c>
      <c r="AS8" s="73">
        <v>38</v>
      </c>
      <c r="AT8" s="73">
        <v>39</v>
      </c>
      <c r="AU8" s="73">
        <v>40</v>
      </c>
      <c r="AV8" s="73">
        <v>41</v>
      </c>
      <c r="AW8" s="73">
        <v>42</v>
      </c>
      <c r="AX8" s="73">
        <v>43</v>
      </c>
      <c r="AY8" s="73">
        <v>44</v>
      </c>
      <c r="AZ8" s="73">
        <v>45</v>
      </c>
      <c r="BA8" s="73">
        <v>46</v>
      </c>
      <c r="BB8" s="73">
        <v>47</v>
      </c>
      <c r="BC8" s="73">
        <v>48</v>
      </c>
      <c r="BD8" s="73">
        <v>49</v>
      </c>
      <c r="BE8" s="73">
        <v>50</v>
      </c>
      <c r="BF8" s="73">
        <v>51</v>
      </c>
      <c r="BG8" s="73">
        <v>52</v>
      </c>
      <c r="BH8" s="73">
        <v>53</v>
      </c>
      <c r="BI8" s="73">
        <v>54</v>
      </c>
      <c r="BJ8" s="73">
        <v>55</v>
      </c>
      <c r="BK8" s="73">
        <v>56</v>
      </c>
      <c r="BL8" s="73">
        <v>57</v>
      </c>
      <c r="BM8" s="73">
        <v>58</v>
      </c>
      <c r="BN8" s="73">
        <v>59</v>
      </c>
      <c r="BO8" s="73">
        <v>60</v>
      </c>
      <c r="BP8" s="73">
        <v>61</v>
      </c>
      <c r="BQ8" s="73">
        <v>62</v>
      </c>
      <c r="BR8" s="73">
        <v>63</v>
      </c>
      <c r="BS8" s="73">
        <v>64</v>
      </c>
      <c r="BT8" s="73">
        <v>65</v>
      </c>
      <c r="BU8" s="73">
        <v>66</v>
      </c>
      <c r="BV8" s="73">
        <v>67</v>
      </c>
      <c r="BW8" s="73">
        <v>68</v>
      </c>
      <c r="BX8" s="73">
        <v>69</v>
      </c>
      <c r="BY8" s="73">
        <v>70</v>
      </c>
      <c r="BZ8" s="73">
        <v>71</v>
      </c>
      <c r="CA8" s="73">
        <v>72</v>
      </c>
      <c r="CB8" s="73">
        <v>73</v>
      </c>
      <c r="CC8" s="73">
        <v>74</v>
      </c>
      <c r="CD8" s="73">
        <v>75</v>
      </c>
      <c r="CE8" s="73">
        <v>76</v>
      </c>
      <c r="CF8" s="73">
        <v>77</v>
      </c>
      <c r="CG8" s="73">
        <v>78</v>
      </c>
      <c r="CH8" s="73">
        <v>79</v>
      </c>
      <c r="CI8" s="73">
        <v>80</v>
      </c>
      <c r="CJ8" s="73">
        <v>81</v>
      </c>
      <c r="CK8" s="73">
        <v>82</v>
      </c>
      <c r="CL8" s="73">
        <v>83</v>
      </c>
      <c r="CM8" s="73">
        <v>84</v>
      </c>
      <c r="CN8" s="73">
        <v>85</v>
      </c>
      <c r="CO8" s="73">
        <v>86</v>
      </c>
      <c r="CP8" s="73">
        <v>87</v>
      </c>
      <c r="CQ8" s="73">
        <v>88</v>
      </c>
      <c r="CR8" s="73">
        <v>89</v>
      </c>
      <c r="CS8" s="73">
        <v>90</v>
      </c>
      <c r="CT8" s="73">
        <v>91</v>
      </c>
      <c r="CU8" s="73">
        <v>92</v>
      </c>
      <c r="CV8" s="73">
        <v>93</v>
      </c>
      <c r="CW8" s="73">
        <v>94</v>
      </c>
      <c r="CX8" s="73">
        <v>95</v>
      </c>
      <c r="CY8" s="73">
        <v>96</v>
      </c>
      <c r="CZ8" s="73">
        <v>97</v>
      </c>
      <c r="DA8" s="73">
        <v>98</v>
      </c>
      <c r="DB8" s="73">
        <v>99</v>
      </c>
      <c r="DC8" s="73">
        <v>100</v>
      </c>
      <c r="DD8" s="73">
        <v>101</v>
      </c>
      <c r="DE8" s="73">
        <v>102</v>
      </c>
      <c r="DF8" s="73">
        <v>103</v>
      </c>
      <c r="DG8" s="73">
        <v>104</v>
      </c>
      <c r="DH8" s="73">
        <v>105</v>
      </c>
      <c r="DI8" s="73">
        <v>106</v>
      </c>
      <c r="DJ8" s="73">
        <v>107</v>
      </c>
      <c r="DK8" s="73">
        <v>108</v>
      </c>
      <c r="DL8" s="73">
        <v>109</v>
      </c>
      <c r="DM8" s="73">
        <v>110</v>
      </c>
      <c r="DN8" s="73">
        <v>111</v>
      </c>
      <c r="DO8" s="73">
        <v>112</v>
      </c>
      <c r="DP8" s="73">
        <v>113</v>
      </c>
      <c r="DQ8" s="73">
        <v>114</v>
      </c>
      <c r="DR8" s="73">
        <v>115</v>
      </c>
      <c r="DS8" s="73">
        <v>116</v>
      </c>
      <c r="DT8" s="73">
        <v>117</v>
      </c>
      <c r="DU8" s="73">
        <v>118</v>
      </c>
      <c r="DV8" s="73">
        <v>119</v>
      </c>
      <c r="DW8" s="73">
        <v>120</v>
      </c>
      <c r="DX8" s="73">
        <v>121</v>
      </c>
      <c r="DY8" s="73">
        <v>122</v>
      </c>
      <c r="DZ8" s="73">
        <v>123</v>
      </c>
      <c r="EA8" s="73">
        <v>124</v>
      </c>
      <c r="EB8" s="73">
        <v>125</v>
      </c>
      <c r="EC8" s="73">
        <v>126</v>
      </c>
      <c r="ED8" s="73">
        <v>127</v>
      </c>
      <c r="EE8" s="73">
        <v>128</v>
      </c>
      <c r="EF8" s="73">
        <v>129</v>
      </c>
      <c r="EG8" s="73">
        <v>130</v>
      </c>
      <c r="EH8" s="73">
        <v>131</v>
      </c>
      <c r="EI8" s="73">
        <v>132</v>
      </c>
      <c r="EJ8" s="73">
        <v>133</v>
      </c>
      <c r="EK8" s="73">
        <v>134</v>
      </c>
      <c r="EL8" s="73">
        <v>135</v>
      </c>
      <c r="EM8" s="73">
        <v>136</v>
      </c>
      <c r="EN8" s="73">
        <v>137</v>
      </c>
      <c r="EO8" s="73">
        <v>138</v>
      </c>
      <c r="EP8" s="73">
        <v>139</v>
      </c>
      <c r="EQ8" s="73">
        <v>140</v>
      </c>
      <c r="ER8" s="73">
        <v>141</v>
      </c>
      <c r="ES8" s="73">
        <v>142</v>
      </c>
      <c r="ET8" s="73">
        <v>143</v>
      </c>
      <c r="EU8" s="73">
        <v>144</v>
      </c>
      <c r="EV8" s="73">
        <v>145</v>
      </c>
      <c r="EW8" s="73">
        <v>146</v>
      </c>
      <c r="EX8" s="73">
        <v>147</v>
      </c>
      <c r="EY8" s="73">
        <v>148</v>
      </c>
      <c r="EZ8" s="73">
        <v>149</v>
      </c>
      <c r="FA8" s="73">
        <v>150</v>
      </c>
      <c r="FB8" s="73">
        <v>151</v>
      </c>
      <c r="FC8" s="73">
        <v>152</v>
      </c>
      <c r="FD8" s="73">
        <v>153</v>
      </c>
      <c r="FE8" s="73">
        <v>154</v>
      </c>
      <c r="FF8" s="73">
        <v>155</v>
      </c>
      <c r="FG8" s="73">
        <v>156</v>
      </c>
      <c r="FH8" s="73">
        <v>157</v>
      </c>
      <c r="FI8" s="73">
        <v>158</v>
      </c>
      <c r="FJ8" s="73">
        <v>159</v>
      </c>
      <c r="FK8" s="73">
        <v>160</v>
      </c>
      <c r="FL8" s="73">
        <v>161</v>
      </c>
      <c r="FM8" s="73">
        <v>162</v>
      </c>
      <c r="FN8" s="73">
        <v>163</v>
      </c>
      <c r="FO8" s="73">
        <v>164</v>
      </c>
      <c r="FP8" s="73">
        <v>165</v>
      </c>
      <c r="FQ8" s="73">
        <v>166</v>
      </c>
      <c r="FR8" s="73">
        <v>167</v>
      </c>
      <c r="FS8" s="73">
        <v>168</v>
      </c>
      <c r="FT8" s="73">
        <v>169</v>
      </c>
      <c r="FU8" s="73">
        <v>170</v>
      </c>
      <c r="FV8" s="73">
        <v>171</v>
      </c>
      <c r="FW8" s="73">
        <v>172</v>
      </c>
      <c r="FX8" s="73">
        <v>173</v>
      </c>
      <c r="FY8" s="73">
        <v>174</v>
      </c>
      <c r="FZ8" s="73">
        <v>175</v>
      </c>
      <c r="GA8" s="73">
        <v>176</v>
      </c>
      <c r="GB8" s="73">
        <v>177</v>
      </c>
      <c r="GC8" s="73">
        <v>178</v>
      </c>
      <c r="GD8" s="73">
        <v>179</v>
      </c>
      <c r="GE8" s="73">
        <v>180</v>
      </c>
      <c r="GF8" s="73">
        <v>181</v>
      </c>
      <c r="GG8" s="73">
        <v>182</v>
      </c>
      <c r="GH8" s="73">
        <v>183</v>
      </c>
      <c r="GI8" s="73">
        <v>184</v>
      </c>
      <c r="GJ8" s="73">
        <v>185</v>
      </c>
      <c r="GK8" s="73">
        <v>186</v>
      </c>
      <c r="GL8" s="73">
        <v>187</v>
      </c>
      <c r="GM8" s="73">
        <v>188</v>
      </c>
      <c r="GN8" s="73">
        <v>189</v>
      </c>
      <c r="GO8" s="73">
        <v>190</v>
      </c>
      <c r="GP8" s="73">
        <v>191</v>
      </c>
      <c r="GQ8" s="73">
        <v>192</v>
      </c>
      <c r="GR8" s="73">
        <v>193</v>
      </c>
      <c r="GS8" s="73">
        <v>194</v>
      </c>
      <c r="GT8" s="73">
        <v>195</v>
      </c>
      <c r="GU8" s="73">
        <v>196</v>
      </c>
      <c r="GV8" s="73">
        <v>197</v>
      </c>
      <c r="GW8" s="73">
        <v>198</v>
      </c>
      <c r="GX8" s="73">
        <v>199</v>
      </c>
      <c r="GY8" s="73">
        <v>200</v>
      </c>
      <c r="GZ8" s="73">
        <v>201</v>
      </c>
      <c r="HA8" s="73">
        <v>202</v>
      </c>
      <c r="HB8" s="73">
        <v>203</v>
      </c>
      <c r="HC8" s="73">
        <v>204</v>
      </c>
      <c r="HD8" s="73">
        <v>205</v>
      </c>
      <c r="HE8" s="73">
        <v>206</v>
      </c>
      <c r="HF8" s="73">
        <v>207</v>
      </c>
      <c r="HG8" s="73">
        <v>208</v>
      </c>
      <c r="HH8" s="73">
        <v>209</v>
      </c>
      <c r="HI8" s="73">
        <v>210</v>
      </c>
      <c r="HJ8" s="73">
        <v>211</v>
      </c>
      <c r="HK8" s="73">
        <v>212</v>
      </c>
      <c r="HL8" s="73">
        <v>213</v>
      </c>
      <c r="HM8" s="73">
        <v>214</v>
      </c>
      <c r="HN8" s="73">
        <v>215</v>
      </c>
      <c r="HO8" s="73">
        <v>216</v>
      </c>
      <c r="HP8" s="73">
        <v>217</v>
      </c>
      <c r="HQ8" s="73">
        <v>218</v>
      </c>
      <c r="HR8" s="73">
        <v>219</v>
      </c>
      <c r="HS8" s="73">
        <v>220</v>
      </c>
      <c r="HT8" s="73">
        <v>221</v>
      </c>
      <c r="HU8" s="73">
        <v>222</v>
      </c>
      <c r="HV8" s="73">
        <v>223</v>
      </c>
      <c r="HW8" s="73">
        <v>224</v>
      </c>
      <c r="HX8" s="73">
        <v>225</v>
      </c>
      <c r="HY8" s="73">
        <v>226</v>
      </c>
      <c r="HZ8" s="73">
        <v>227</v>
      </c>
      <c r="IA8" s="73">
        <v>228</v>
      </c>
      <c r="IB8" s="73">
        <v>229</v>
      </c>
      <c r="IC8" s="73">
        <v>230</v>
      </c>
      <c r="ID8" s="73">
        <v>231</v>
      </c>
      <c r="IE8" s="73">
        <v>232</v>
      </c>
      <c r="IF8" s="73">
        <v>233</v>
      </c>
      <c r="IG8" s="73">
        <v>234</v>
      </c>
      <c r="IH8" s="73">
        <v>235</v>
      </c>
      <c r="II8" s="73">
        <v>236</v>
      </c>
      <c r="IJ8" s="73">
        <v>237</v>
      </c>
      <c r="IK8" s="73">
        <v>238</v>
      </c>
      <c r="IL8" s="73">
        <v>239</v>
      </c>
      <c r="IM8" s="73">
        <v>240</v>
      </c>
      <c r="IN8" s="73">
        <v>241</v>
      </c>
      <c r="IO8" s="73">
        <v>242</v>
      </c>
      <c r="IP8" s="73">
        <v>243</v>
      </c>
      <c r="IQ8" s="73">
        <v>244</v>
      </c>
      <c r="IR8" s="73">
        <v>245</v>
      </c>
      <c r="IS8" s="73">
        <v>246</v>
      </c>
      <c r="IT8" s="73">
        <v>247</v>
      </c>
      <c r="IU8" s="73">
        <v>248</v>
      </c>
      <c r="IV8" s="73">
        <v>249</v>
      </c>
      <c r="IW8" s="73">
        <v>250</v>
      </c>
    </row>
    <row r="13" spans="1:262" ht="30" customHeight="1" x14ac:dyDescent="0.2">
      <c r="F13" t="s">
        <v>333</v>
      </c>
    </row>
    <row r="14" spans="1:262" ht="30" customHeight="1" x14ac:dyDescent="0.2">
      <c r="B14" s="110" t="s">
        <v>334</v>
      </c>
      <c r="C14" s="110"/>
      <c r="D14" s="110"/>
      <c r="E14" s="110"/>
      <c r="F14">
        <v>2</v>
      </c>
    </row>
    <row r="15" spans="1:262" ht="30" customHeight="1" x14ac:dyDescent="0.2">
      <c r="B15" s="90" t="s">
        <v>335</v>
      </c>
      <c r="C15" s="90"/>
      <c r="D15" s="90"/>
      <c r="E15" s="90"/>
      <c r="F15">
        <v>1</v>
      </c>
    </row>
    <row r="16" spans="1:262" ht="30" customHeight="1" x14ac:dyDescent="0.2">
      <c r="B16" s="109" t="s">
        <v>336</v>
      </c>
      <c r="C16" s="109"/>
      <c r="D16" s="109"/>
      <c r="E16" s="109"/>
      <c r="F16">
        <v>3</v>
      </c>
      <c r="H16" s="4" t="s">
        <v>342</v>
      </c>
    </row>
    <row r="17" spans="2:7" ht="30" customHeight="1" x14ac:dyDescent="0.2">
      <c r="B17" s="109" t="s">
        <v>337</v>
      </c>
      <c r="C17" s="109"/>
      <c r="D17" s="109"/>
      <c r="E17" s="109"/>
      <c r="F17">
        <v>2</v>
      </c>
      <c r="G17" t="s">
        <v>341</v>
      </c>
    </row>
    <row r="18" spans="2:7" ht="30" customHeight="1" x14ac:dyDescent="0.2">
      <c r="B18" s="90" t="s">
        <v>338</v>
      </c>
      <c r="C18" s="90"/>
      <c r="D18" s="90"/>
      <c r="E18" s="90"/>
      <c r="F18">
        <v>1</v>
      </c>
    </row>
    <row r="19" spans="2:7" ht="30" customHeight="1" x14ac:dyDescent="0.2">
      <c r="B19" s="110" t="s">
        <v>339</v>
      </c>
      <c r="C19" s="110"/>
      <c r="D19" s="110"/>
      <c r="E19" s="110"/>
      <c r="F19">
        <v>3</v>
      </c>
    </row>
    <row r="20" spans="2:7" ht="30" customHeight="1" x14ac:dyDescent="0.2">
      <c r="B20" s="90" t="s">
        <v>340</v>
      </c>
      <c r="C20" s="90"/>
      <c r="D20" s="90"/>
      <c r="E20" s="90"/>
      <c r="F20">
        <v>0.5</v>
      </c>
    </row>
    <row r="21" spans="2:7" ht="30" customHeight="1" x14ac:dyDescent="0.2">
      <c r="B21" s="90" t="s">
        <v>343</v>
      </c>
      <c r="C21" s="90"/>
      <c r="D21" s="90"/>
      <c r="E21" s="90"/>
      <c r="F21">
        <v>0.5</v>
      </c>
    </row>
    <row r="22" spans="2:7" ht="30" customHeight="1" x14ac:dyDescent="0.2">
      <c r="B22" s="90"/>
      <c r="C22" s="90"/>
      <c r="D22" s="90"/>
      <c r="E22" s="90"/>
    </row>
    <row r="24" spans="2:7" ht="30" customHeight="1" x14ac:dyDescent="0.2">
      <c r="B24" s="90"/>
      <c r="C24" s="90"/>
      <c r="D24" s="90"/>
      <c r="E24" s="90"/>
    </row>
    <row r="25" spans="2:7" ht="30" customHeight="1" x14ac:dyDescent="0.2">
      <c r="B25" s="90"/>
      <c r="C25" s="90"/>
      <c r="D25" s="90"/>
      <c r="E25" s="90"/>
    </row>
    <row r="26" spans="2:7" ht="30" customHeight="1" x14ac:dyDescent="0.2">
      <c r="B26" s="90" t="s">
        <v>344</v>
      </c>
      <c r="C26" s="90"/>
      <c r="D26" s="90"/>
      <c r="E26" s="90"/>
      <c r="F26">
        <f>SUM(F14:F25)</f>
        <v>13</v>
      </c>
    </row>
    <row r="27" spans="2:7" ht="30" customHeight="1" x14ac:dyDescent="0.2">
      <c r="B27" s="90"/>
      <c r="C27" s="90"/>
      <c r="D27" s="90"/>
      <c r="E27" s="90"/>
    </row>
    <row r="28" spans="2:7" ht="30" customHeight="1" x14ac:dyDescent="0.2">
      <c r="B28" s="90"/>
      <c r="C28" s="90"/>
      <c r="D28" s="90"/>
      <c r="E28" s="90"/>
    </row>
    <row r="29" spans="2:7" ht="30" customHeight="1" x14ac:dyDescent="0.2">
      <c r="B29" s="90"/>
      <c r="C29" s="90"/>
      <c r="D29" s="90"/>
      <c r="E29" s="90"/>
    </row>
    <row r="30" spans="2:7" ht="30" customHeight="1" x14ac:dyDescent="0.2">
      <c r="B30" s="90"/>
      <c r="C30" s="90"/>
      <c r="D30" s="90"/>
      <c r="E30" s="90"/>
    </row>
    <row r="31" spans="2:7" ht="30" customHeight="1" x14ac:dyDescent="0.2">
      <c r="B31" s="90"/>
      <c r="C31" s="90"/>
      <c r="D31" s="90"/>
      <c r="E31" s="90"/>
    </row>
    <row r="32" spans="2:7" ht="30" customHeight="1" x14ac:dyDescent="0.2">
      <c r="B32" s="90"/>
      <c r="C32" s="90"/>
      <c r="D32" s="90"/>
      <c r="E32" s="90"/>
    </row>
    <row r="33" spans="2:5" ht="30" customHeight="1" x14ac:dyDescent="0.2">
      <c r="B33" s="90"/>
      <c r="C33" s="90"/>
      <c r="D33" s="90"/>
      <c r="E33" s="90"/>
    </row>
    <row r="34" spans="2:5" ht="30" customHeight="1" x14ac:dyDescent="0.2">
      <c r="B34" s="90"/>
      <c r="C34" s="90"/>
      <c r="D34" s="90"/>
      <c r="E34" s="90"/>
    </row>
    <row r="35" spans="2:5" ht="30" customHeight="1" x14ac:dyDescent="0.2">
      <c r="B35" s="90"/>
      <c r="C35" s="90"/>
      <c r="D35" s="90"/>
      <c r="E35" s="90"/>
    </row>
  </sheetData>
  <mergeCells count="25">
    <mergeCell ref="A3:G3"/>
    <mergeCell ref="A6:G6"/>
    <mergeCell ref="B14:E14"/>
    <mergeCell ref="B15:E15"/>
    <mergeCell ref="B16:E16"/>
    <mergeCell ref="B35:E35"/>
    <mergeCell ref="B27:E27"/>
    <mergeCell ref="B28:E28"/>
    <mergeCell ref="B29:E29"/>
    <mergeCell ref="B30:E30"/>
    <mergeCell ref="B31:E31"/>
    <mergeCell ref="H4:I4"/>
    <mergeCell ref="K4:M4"/>
    <mergeCell ref="B32:E32"/>
    <mergeCell ref="B33:E33"/>
    <mergeCell ref="B34:E34"/>
    <mergeCell ref="B22:E22"/>
    <mergeCell ref="B26:E26"/>
    <mergeCell ref="B24:E24"/>
    <mergeCell ref="B25:E25"/>
    <mergeCell ref="B17:E17"/>
    <mergeCell ref="B18:E18"/>
    <mergeCell ref="B19:E19"/>
    <mergeCell ref="B20:E20"/>
    <mergeCell ref="B21:E21"/>
  </mergeCells>
  <conditionalFormatting sqref="H3:BK3">
    <cfRule type="cellIs" dxfId="3" priority="3" operator="equal">
      <formula>0</formula>
    </cfRule>
    <cfRule type="cellIs" dxfId="2" priority="4" operator="equal">
      <formula>1</formula>
    </cfRule>
  </conditionalFormatting>
  <conditionalFormatting sqref="H6:IW6">
    <cfRule type="cellIs" dxfId="1" priority="1" operator="equal">
      <formula>0</formula>
    </cfRule>
    <cfRule type="cellIs" dxfId="0" priority="2" operator="equal">
      <formula>1</formula>
    </cfRule>
  </conditionalFormatting>
  <hyperlinks>
    <hyperlink ref="B14:E14" r:id="rId1" display="Site Work" xr:uid="{9CA30834-210A-534E-8038-529259BF02E4}"/>
    <hyperlink ref="B19:E19" r:id="rId2" display="Let Slab Cure" xr:uid="{3D0C66C3-ED70-CB47-8435-057BD52C7F58}"/>
    <hyperlink ref="H16" r:id="rId3" xr:uid="{A982BCA9-57C2-8D48-9C52-97821508430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Pier Design</vt:lpstr>
      <vt:lpstr>Slab Design</vt:lpstr>
      <vt:lpstr>Cost Analysis</vt:lpstr>
      <vt:lpstr>Schedule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Neuendorf</dc:creator>
  <cp:lastModifiedBy>Matthew Neuendorf</cp:lastModifiedBy>
  <dcterms:created xsi:type="dcterms:W3CDTF">2020-02-11T21:42:35Z</dcterms:created>
  <dcterms:modified xsi:type="dcterms:W3CDTF">2020-04-29T19:03:38Z</dcterms:modified>
</cp:coreProperties>
</file>